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fsv01\インターネット接続系共有\420_総務課\10総務広報係\オープンデータ関係\R4\"/>
    </mc:Choice>
  </mc:AlternateContent>
  <bookViews>
    <workbookView xWindow="0" yWindow="0" windowWidth="9630" windowHeight="0"/>
  </bookViews>
  <sheets>
    <sheet name="決算状況" sheetId="2" r:id="rId1"/>
    <sheet name="歳入の内訳" sheetId="3" r:id="rId2"/>
    <sheet name="町税の内訳" sheetId="4" r:id="rId3"/>
    <sheet name="目的別内訳" sheetId="5" r:id="rId4"/>
    <sheet name="性質別内訳" sheetId="6" r:id="rId5"/>
    <sheet name="経常一般充当" sheetId="7" r:id="rId6"/>
    <sheet name="交付税の状況" sheetId="8" r:id="rId7"/>
    <sheet name="法人税割" sheetId="9" r:id="rId8"/>
    <sheet name="基金状況" sheetId="10" r:id="rId9"/>
    <sheet name="長期債資料" sheetId="11" r:id="rId10"/>
    <sheet name="公債費比率と繰上償還" sheetId="12" r:id="rId11"/>
    <sheet name="Sheet1" sheetId="1" r:id="rId12"/>
  </sheets>
  <externalReferences>
    <externalReference r:id="rId13"/>
  </externalReferences>
  <definedNames>
    <definedName name="_xlnm.Print_Area" localSheetId="8">基金状況!$A$1:$Y$63</definedName>
    <definedName name="_xlnm.Print_Area" localSheetId="5">経常一般充当!$B$1:$R$61</definedName>
    <definedName name="_xlnm.Print_Area" localSheetId="0">決算状況!$A$1:$T$63</definedName>
    <definedName name="_xlnm.Print_Area" localSheetId="6">交付税の状況!$B$1:$O$61</definedName>
    <definedName name="_xlnm.Print_Area" localSheetId="10">公債費比率と繰上償還!$B$1:$N$61</definedName>
    <definedName name="_xlnm.Print_Area" localSheetId="1">歳入の内訳!$A$1:$R$61</definedName>
    <definedName name="_xlnm.Print_Area" localSheetId="4">性質別内訳!$B$1:$T$61</definedName>
    <definedName name="_xlnm.Print_Area" localSheetId="2">町税の内訳!$B$1:$P$61</definedName>
    <definedName name="_xlnm.Print_Area" localSheetId="9">長期債資料!$B$1:$W$61</definedName>
    <definedName name="_xlnm.Print_Area" localSheetId="7">法人税割!$B$1:$L$64</definedName>
    <definedName name="_xlnm.Print_Area" localSheetId="3">目的別内訳!$B$1:$Q$61</definedName>
    <definedName name="_xlnm.Print_Titles" localSheetId="8">基金状況!$1:$4</definedName>
    <definedName name="_xlnm.Print_Titles" localSheetId="5">経常一般充当!$1:$4</definedName>
    <definedName name="_xlnm.Print_Titles" localSheetId="0">決算状況!$1:$4</definedName>
    <definedName name="_xlnm.Print_Titles" localSheetId="6">交付税の状況!$1:$4</definedName>
    <definedName name="_xlnm.Print_Titles" localSheetId="10">公債費比率と繰上償還!$1:$4</definedName>
    <definedName name="_xlnm.Print_Titles" localSheetId="1">歳入の内訳!$1:$4</definedName>
    <definedName name="_xlnm.Print_Titles" localSheetId="4">性質別内訳!$1:$4</definedName>
    <definedName name="_xlnm.Print_Titles" localSheetId="2">町税の内訳!$1:$4</definedName>
    <definedName name="_xlnm.Print_Titles" localSheetId="9">長期債資料!$1:$4</definedName>
    <definedName name="_xlnm.Print_Titles" localSheetId="7">法人税割!$1:$4</definedName>
    <definedName name="_xlnm.Print_Titles" localSheetId="3">目的別内訳!$1:$4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2" l="1"/>
  <c r="M61" i="12" s="1"/>
  <c r="F60" i="12"/>
  <c r="M60" i="12" s="1"/>
  <c r="J59" i="12"/>
  <c r="F59" i="12"/>
  <c r="M59" i="12" s="1"/>
  <c r="F58" i="12"/>
  <c r="J58" i="12" s="1"/>
  <c r="P58" i="2" s="1"/>
  <c r="F57" i="12"/>
  <c r="M57" i="12" s="1"/>
  <c r="C57" i="12"/>
  <c r="M56" i="12"/>
  <c r="J56" i="12"/>
  <c r="F56" i="12"/>
  <c r="M55" i="12"/>
  <c r="J55" i="12"/>
  <c r="F55" i="12"/>
  <c r="M54" i="12"/>
  <c r="J54" i="12"/>
  <c r="P54" i="2" s="1"/>
  <c r="F54" i="12"/>
  <c r="F53" i="12"/>
  <c r="M53" i="12" s="1"/>
  <c r="M52" i="12"/>
  <c r="J52" i="12"/>
  <c r="F52" i="12"/>
  <c r="M51" i="12"/>
  <c r="J51" i="12"/>
  <c r="F50" i="12"/>
  <c r="J50" i="12" s="1"/>
  <c r="I49" i="12"/>
  <c r="F49" i="12"/>
  <c r="M49" i="12" s="1"/>
  <c r="I48" i="12"/>
  <c r="F48" i="12"/>
  <c r="M48" i="12" s="1"/>
  <c r="I47" i="12"/>
  <c r="F47" i="12"/>
  <c r="M47" i="12" s="1"/>
  <c r="I46" i="12"/>
  <c r="F46" i="12"/>
  <c r="M46" i="12" s="1"/>
  <c r="I45" i="12"/>
  <c r="F45" i="12"/>
  <c r="M45" i="12" s="1"/>
  <c r="I44" i="12"/>
  <c r="F44" i="12"/>
  <c r="M44" i="12" s="1"/>
  <c r="I43" i="12"/>
  <c r="F43" i="12"/>
  <c r="M43" i="12" s="1"/>
  <c r="I42" i="12"/>
  <c r="F42" i="12"/>
  <c r="M42" i="12" s="1"/>
  <c r="I41" i="12"/>
  <c r="M41" i="12" s="1"/>
  <c r="M40" i="12"/>
  <c r="J40" i="12"/>
  <c r="F40" i="12"/>
  <c r="J39" i="12"/>
  <c r="F39" i="12"/>
  <c r="M39" i="12" s="1"/>
  <c r="F38" i="12"/>
  <c r="M38" i="12" s="1"/>
  <c r="F37" i="12"/>
  <c r="M37" i="12" s="1"/>
  <c r="M36" i="12"/>
  <c r="J36" i="12"/>
  <c r="F36" i="12"/>
  <c r="J35" i="12"/>
  <c r="F35" i="12"/>
  <c r="M35" i="12" s="1"/>
  <c r="F34" i="12"/>
  <c r="M34" i="12" s="1"/>
  <c r="E33" i="12"/>
  <c r="F33" i="12" s="1"/>
  <c r="F32" i="12"/>
  <c r="M32" i="12" s="1"/>
  <c r="M31" i="12"/>
  <c r="F31" i="12"/>
  <c r="J31" i="12" s="1"/>
  <c r="J30" i="12"/>
  <c r="F30" i="12"/>
  <c r="M30" i="12" s="1"/>
  <c r="F29" i="12"/>
  <c r="J29" i="12" s="1"/>
  <c r="F28" i="12"/>
  <c r="M28" i="12" s="1"/>
  <c r="M27" i="12"/>
  <c r="F27" i="12"/>
  <c r="J27" i="12" s="1"/>
  <c r="J26" i="12"/>
  <c r="F26" i="12"/>
  <c r="M26" i="12" s="1"/>
  <c r="F25" i="12"/>
  <c r="M25" i="12" s="1"/>
  <c r="F24" i="12"/>
  <c r="M24" i="12" s="1"/>
  <c r="M23" i="12"/>
  <c r="F23" i="12"/>
  <c r="J23" i="12" s="1"/>
  <c r="J22" i="12"/>
  <c r="F22" i="12"/>
  <c r="M22" i="12" s="1"/>
  <c r="F21" i="12"/>
  <c r="J21" i="12" s="1"/>
  <c r="F20" i="12"/>
  <c r="M20" i="12" s="1"/>
  <c r="M19" i="12"/>
  <c r="F19" i="12"/>
  <c r="J19" i="12" s="1"/>
  <c r="F18" i="12"/>
  <c r="J18" i="12" s="1"/>
  <c r="J17" i="12"/>
  <c r="F17" i="12"/>
  <c r="F16" i="12"/>
  <c r="J16" i="12" s="1"/>
  <c r="J15" i="12"/>
  <c r="F15" i="12"/>
  <c r="F14" i="12"/>
  <c r="J14" i="12" s="1"/>
  <c r="F13" i="12"/>
  <c r="J13" i="12" s="1"/>
  <c r="F12" i="12"/>
  <c r="J12" i="12" s="1"/>
  <c r="J11" i="12"/>
  <c r="F11" i="12"/>
  <c r="F10" i="12"/>
  <c r="J10" i="12" s="1"/>
  <c r="X61" i="11"/>
  <c r="O61" i="11"/>
  <c r="K61" i="11"/>
  <c r="I61" i="11"/>
  <c r="G61" i="11"/>
  <c r="E61" i="11"/>
  <c r="X60" i="11"/>
  <c r="O60" i="11"/>
  <c r="K60" i="11"/>
  <c r="I60" i="11"/>
  <c r="G60" i="11"/>
  <c r="E60" i="11"/>
  <c r="X59" i="11"/>
  <c r="O59" i="11"/>
  <c r="K59" i="11"/>
  <c r="I59" i="11"/>
  <c r="G59" i="11"/>
  <c r="E59" i="11"/>
  <c r="X58" i="11"/>
  <c r="O58" i="11"/>
  <c r="K58" i="11"/>
  <c r="I58" i="11"/>
  <c r="G58" i="11"/>
  <c r="E58" i="11"/>
  <c r="X57" i="11"/>
  <c r="O57" i="11"/>
  <c r="K57" i="11"/>
  <c r="I57" i="11"/>
  <c r="G57" i="11"/>
  <c r="E57" i="11"/>
  <c r="D57" i="11"/>
  <c r="X56" i="11"/>
  <c r="O56" i="11"/>
  <c r="K56" i="11"/>
  <c r="I56" i="11"/>
  <c r="G56" i="11"/>
  <c r="E56" i="11"/>
  <c r="D56" i="11"/>
  <c r="X55" i="11"/>
  <c r="O55" i="11"/>
  <c r="K55" i="11"/>
  <c r="I55" i="11"/>
  <c r="G55" i="11"/>
  <c r="E55" i="11"/>
  <c r="D55" i="11"/>
  <c r="X54" i="11"/>
  <c r="O54" i="11"/>
  <c r="K54" i="11"/>
  <c r="I54" i="11"/>
  <c r="G54" i="11"/>
  <c r="D54" i="11"/>
  <c r="E54" i="11" s="1"/>
  <c r="X53" i="11"/>
  <c r="R53" i="11"/>
  <c r="O53" i="11"/>
  <c r="K53" i="11"/>
  <c r="I53" i="11"/>
  <c r="G53" i="11"/>
  <c r="E53" i="11"/>
  <c r="X52" i="11"/>
  <c r="R52" i="11"/>
  <c r="O52" i="11"/>
  <c r="K52" i="11"/>
  <c r="I52" i="11"/>
  <c r="G52" i="11"/>
  <c r="E52" i="11"/>
  <c r="X51" i="11"/>
  <c r="O51" i="11"/>
  <c r="K51" i="11"/>
  <c r="I51" i="11"/>
  <c r="G51" i="11"/>
  <c r="E51" i="11"/>
  <c r="X50" i="11"/>
  <c r="O50" i="11"/>
  <c r="K50" i="11"/>
  <c r="I50" i="11"/>
  <c r="G50" i="11"/>
  <c r="E50" i="11"/>
  <c r="X49" i="11"/>
  <c r="R49" i="11"/>
  <c r="O49" i="11"/>
  <c r="K49" i="11"/>
  <c r="I49" i="11"/>
  <c r="G49" i="11"/>
  <c r="E49" i="11"/>
  <c r="X48" i="11"/>
  <c r="R48" i="11"/>
  <c r="O48" i="11"/>
  <c r="K48" i="11"/>
  <c r="I48" i="11"/>
  <c r="G48" i="11"/>
  <c r="E48" i="11"/>
  <c r="X47" i="11"/>
  <c r="R47" i="11"/>
  <c r="O47" i="11"/>
  <c r="K47" i="11"/>
  <c r="I47" i="11"/>
  <c r="G47" i="11"/>
  <c r="E47" i="11"/>
  <c r="X46" i="11"/>
  <c r="R46" i="11"/>
  <c r="O46" i="11"/>
  <c r="K46" i="11"/>
  <c r="I46" i="11"/>
  <c r="G46" i="11"/>
  <c r="E46" i="11"/>
  <c r="X45" i="11"/>
  <c r="R45" i="11"/>
  <c r="O45" i="11"/>
  <c r="K45" i="11"/>
  <c r="I45" i="11"/>
  <c r="G45" i="11"/>
  <c r="E45" i="11"/>
  <c r="X44" i="11"/>
  <c r="O44" i="11"/>
  <c r="K44" i="11"/>
  <c r="I44" i="11"/>
  <c r="G44" i="11"/>
  <c r="E44" i="11"/>
  <c r="X43" i="11"/>
  <c r="O43" i="11"/>
  <c r="K43" i="11"/>
  <c r="I43" i="11"/>
  <c r="G43" i="11"/>
  <c r="E43" i="11"/>
  <c r="X42" i="11"/>
  <c r="O42" i="11"/>
  <c r="K42" i="11"/>
  <c r="I42" i="11"/>
  <c r="G42" i="11"/>
  <c r="E42" i="11"/>
  <c r="X41" i="11"/>
  <c r="O41" i="11"/>
  <c r="K41" i="11"/>
  <c r="I41" i="11"/>
  <c r="G41" i="11"/>
  <c r="E41" i="11"/>
  <c r="X40" i="11"/>
  <c r="O40" i="11"/>
  <c r="K40" i="11"/>
  <c r="I40" i="11"/>
  <c r="G40" i="11"/>
  <c r="E40" i="11"/>
  <c r="X39" i="11"/>
  <c r="O39" i="11"/>
  <c r="K39" i="11"/>
  <c r="I39" i="11"/>
  <c r="G39" i="11"/>
  <c r="E39" i="11"/>
  <c r="X38" i="11"/>
  <c r="O38" i="11"/>
  <c r="K38" i="11"/>
  <c r="I38" i="11"/>
  <c r="G38" i="11"/>
  <c r="E38" i="11"/>
  <c r="X37" i="11"/>
  <c r="O37" i="11"/>
  <c r="K37" i="11"/>
  <c r="I37" i="11"/>
  <c r="G37" i="11"/>
  <c r="E37" i="11"/>
  <c r="X36" i="11"/>
  <c r="O36" i="11"/>
  <c r="K36" i="11"/>
  <c r="I36" i="11"/>
  <c r="G36" i="11"/>
  <c r="E36" i="11"/>
  <c r="X35" i="11"/>
  <c r="O35" i="11"/>
  <c r="K35" i="11"/>
  <c r="I35" i="11"/>
  <c r="G35" i="11"/>
  <c r="E35" i="11"/>
  <c r="X34" i="11"/>
  <c r="O34" i="11"/>
  <c r="K34" i="11"/>
  <c r="I34" i="11"/>
  <c r="G34" i="11"/>
  <c r="E34" i="11"/>
  <c r="X33" i="11"/>
  <c r="O33" i="11"/>
  <c r="K33" i="11"/>
  <c r="I33" i="11"/>
  <c r="G33" i="11"/>
  <c r="E33" i="11"/>
  <c r="X32" i="11"/>
  <c r="O32" i="11"/>
  <c r="K32" i="11"/>
  <c r="I32" i="11"/>
  <c r="G32" i="11"/>
  <c r="E32" i="11"/>
  <c r="X31" i="11"/>
  <c r="O31" i="11"/>
  <c r="K31" i="11"/>
  <c r="I31" i="11"/>
  <c r="G31" i="11"/>
  <c r="E31" i="11"/>
  <c r="X30" i="11"/>
  <c r="O30" i="11"/>
  <c r="K30" i="11"/>
  <c r="I30" i="11"/>
  <c r="G30" i="11"/>
  <c r="E30" i="11"/>
  <c r="X29" i="11"/>
  <c r="O29" i="11"/>
  <c r="K29" i="11"/>
  <c r="I29" i="11"/>
  <c r="G29" i="11"/>
  <c r="E29" i="11"/>
  <c r="X28" i="11"/>
  <c r="O28" i="11"/>
  <c r="K28" i="11"/>
  <c r="I28" i="11"/>
  <c r="G28" i="11"/>
  <c r="E28" i="11"/>
  <c r="X27" i="11"/>
  <c r="O27" i="11"/>
  <c r="K27" i="11"/>
  <c r="I27" i="11"/>
  <c r="G27" i="11"/>
  <c r="E27" i="11"/>
  <c r="X26" i="11"/>
  <c r="O26" i="11"/>
  <c r="K26" i="11"/>
  <c r="I26" i="11"/>
  <c r="G26" i="11"/>
  <c r="E26" i="11"/>
  <c r="X25" i="11"/>
  <c r="O25" i="11"/>
  <c r="K25" i="11"/>
  <c r="I25" i="11"/>
  <c r="G25" i="11"/>
  <c r="E25" i="11"/>
  <c r="X24" i="11"/>
  <c r="O24" i="11"/>
  <c r="K24" i="11"/>
  <c r="G24" i="11"/>
  <c r="E24" i="11"/>
  <c r="X23" i="11"/>
  <c r="O23" i="11"/>
  <c r="K23" i="11"/>
  <c r="G23" i="11"/>
  <c r="E23" i="11"/>
  <c r="X22" i="11"/>
  <c r="O22" i="11"/>
  <c r="K22" i="11"/>
  <c r="I22" i="11"/>
  <c r="G22" i="11"/>
  <c r="E22" i="11"/>
  <c r="X21" i="11"/>
  <c r="O21" i="11"/>
  <c r="K21" i="11"/>
  <c r="I21" i="11"/>
  <c r="G21" i="11"/>
  <c r="E21" i="11"/>
  <c r="X20" i="11"/>
  <c r="O20" i="11"/>
  <c r="K20" i="11"/>
  <c r="I20" i="11"/>
  <c r="G20" i="11"/>
  <c r="E20" i="11"/>
  <c r="X19" i="11"/>
  <c r="O19" i="11"/>
  <c r="K19" i="11"/>
  <c r="I19" i="11"/>
  <c r="G19" i="11"/>
  <c r="E19" i="11"/>
  <c r="X18" i="11"/>
  <c r="O18" i="11"/>
  <c r="K18" i="11"/>
  <c r="I18" i="11"/>
  <c r="G18" i="11"/>
  <c r="E18" i="11"/>
  <c r="X17" i="11"/>
  <c r="O17" i="11"/>
  <c r="K17" i="11"/>
  <c r="I17" i="11"/>
  <c r="G17" i="11"/>
  <c r="E17" i="11"/>
  <c r="X16" i="11"/>
  <c r="O16" i="11"/>
  <c r="K16" i="11"/>
  <c r="I16" i="11"/>
  <c r="G16" i="11"/>
  <c r="E16" i="11"/>
  <c r="X15" i="11"/>
  <c r="O15" i="11"/>
  <c r="K15" i="11"/>
  <c r="I15" i="11"/>
  <c r="G15" i="11"/>
  <c r="E15" i="11"/>
  <c r="X14" i="11"/>
  <c r="O14" i="11"/>
  <c r="K14" i="11"/>
  <c r="I14" i="11"/>
  <c r="G14" i="11"/>
  <c r="E14" i="11"/>
  <c r="X13" i="11"/>
  <c r="O13" i="11"/>
  <c r="K13" i="11"/>
  <c r="I13" i="11"/>
  <c r="G13" i="11"/>
  <c r="E13" i="11"/>
  <c r="X12" i="11"/>
  <c r="O12" i="11"/>
  <c r="K12" i="11"/>
  <c r="I12" i="11"/>
  <c r="G12" i="11"/>
  <c r="E12" i="11"/>
  <c r="X11" i="11"/>
  <c r="O11" i="11"/>
  <c r="K11" i="11"/>
  <c r="I11" i="11"/>
  <c r="G11" i="11"/>
  <c r="E11" i="11"/>
  <c r="X10" i="11"/>
  <c r="O10" i="11"/>
  <c r="K10" i="11"/>
  <c r="I10" i="11"/>
  <c r="G10" i="11"/>
  <c r="E10" i="11"/>
  <c r="X9" i="11"/>
  <c r="O9" i="11"/>
  <c r="K9" i="11"/>
  <c r="I9" i="11"/>
  <c r="G9" i="11"/>
  <c r="E9" i="11"/>
  <c r="X8" i="11"/>
  <c r="O8" i="11"/>
  <c r="K8" i="11"/>
  <c r="I8" i="11"/>
  <c r="G8" i="11"/>
  <c r="E8" i="11"/>
  <c r="X7" i="11"/>
  <c r="O7" i="11"/>
  <c r="K7" i="11"/>
  <c r="I7" i="11"/>
  <c r="G7" i="11"/>
  <c r="E7" i="11"/>
  <c r="X6" i="11"/>
  <c r="O6" i="11"/>
  <c r="K6" i="11"/>
  <c r="I6" i="11"/>
  <c r="G6" i="11"/>
  <c r="E6" i="11"/>
  <c r="X5" i="11"/>
  <c r="O5" i="11"/>
  <c r="K5" i="11"/>
  <c r="I5" i="11"/>
  <c r="G5" i="11"/>
  <c r="E5" i="11"/>
  <c r="W63" i="10"/>
  <c r="R63" i="10"/>
  <c r="Z63" i="10" s="1"/>
  <c r="W62" i="10"/>
  <c r="R62" i="10"/>
  <c r="Z62" i="10" s="1"/>
  <c r="R61" i="10"/>
  <c r="Z61" i="10" s="1"/>
  <c r="R60" i="10"/>
  <c r="Z60" i="10" s="1"/>
  <c r="W59" i="10"/>
  <c r="R59" i="10"/>
  <c r="Z59" i="10" s="1"/>
  <c r="W58" i="10"/>
  <c r="R58" i="10"/>
  <c r="Z58" i="10" s="1"/>
  <c r="R57" i="10"/>
  <c r="W57" i="10" s="1"/>
  <c r="R56" i="10"/>
  <c r="Z56" i="10" s="1"/>
  <c r="W55" i="10"/>
  <c r="R55" i="10"/>
  <c r="Z55" i="10" s="1"/>
  <c r="W54" i="10"/>
  <c r="R54" i="10"/>
  <c r="Z54" i="10" s="1"/>
  <c r="R53" i="10"/>
  <c r="Z53" i="10" s="1"/>
  <c r="R52" i="10"/>
  <c r="Z52" i="10" s="1"/>
  <c r="W51" i="10"/>
  <c r="R51" i="10"/>
  <c r="Z51" i="10" s="1"/>
  <c r="W50" i="10"/>
  <c r="R50" i="10"/>
  <c r="Z50" i="10" s="1"/>
  <c r="R49" i="10"/>
  <c r="W49" i="10" s="1"/>
  <c r="R48" i="10"/>
  <c r="Z48" i="10" s="1"/>
  <c r="W47" i="10"/>
  <c r="R47" i="10"/>
  <c r="Z47" i="10" s="1"/>
  <c r="W46" i="10"/>
  <c r="R46" i="10"/>
  <c r="Z46" i="10" s="1"/>
  <c r="R45" i="10"/>
  <c r="Z45" i="10" s="1"/>
  <c r="R44" i="10"/>
  <c r="Z44" i="10" s="1"/>
  <c r="W43" i="10"/>
  <c r="R43" i="10"/>
  <c r="Z43" i="10" s="1"/>
  <c r="W42" i="10"/>
  <c r="R42" i="10"/>
  <c r="Z42" i="10" s="1"/>
  <c r="Z41" i="10"/>
  <c r="Z40" i="10"/>
  <c r="Z39" i="10"/>
  <c r="Z38" i="10"/>
  <c r="Z37" i="10"/>
  <c r="Z36" i="10"/>
  <c r="Z35" i="10"/>
  <c r="Z34" i="10"/>
  <c r="Z33" i="10"/>
  <c r="Z32" i="10"/>
  <c r="Z31" i="10"/>
  <c r="Z30" i="10"/>
  <c r="Z29" i="10"/>
  <c r="Z28" i="10"/>
  <c r="Z27" i="10"/>
  <c r="Z26" i="10"/>
  <c r="Z25" i="10"/>
  <c r="Z24" i="10"/>
  <c r="Z23" i="10"/>
  <c r="Z22" i="10"/>
  <c r="Z21" i="10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AA7" i="10"/>
  <c r="Z7" i="10"/>
  <c r="J63" i="9"/>
  <c r="K63" i="9" s="1"/>
  <c r="K62" i="9"/>
  <c r="J62" i="9"/>
  <c r="J61" i="9"/>
  <c r="K61" i="9" s="1"/>
  <c r="J60" i="9"/>
  <c r="K60" i="9" s="1"/>
  <c r="K59" i="9"/>
  <c r="J59" i="9"/>
  <c r="H58" i="9"/>
  <c r="G58" i="9"/>
  <c r="J58" i="9" s="1"/>
  <c r="K58" i="9" s="1"/>
  <c r="K57" i="9"/>
  <c r="J57" i="9"/>
  <c r="J56" i="9"/>
  <c r="K56" i="9" s="1"/>
  <c r="J55" i="9"/>
  <c r="K55" i="9" s="1"/>
  <c r="K54" i="9"/>
  <c r="J54" i="9"/>
  <c r="K53" i="9"/>
  <c r="J53" i="9"/>
  <c r="J52" i="9"/>
  <c r="K52" i="9" s="1"/>
  <c r="K51" i="9"/>
  <c r="J51" i="9"/>
  <c r="J50" i="9"/>
  <c r="K50" i="9" s="1"/>
  <c r="J49" i="9"/>
  <c r="K49" i="9" s="1"/>
  <c r="K48" i="9"/>
  <c r="J48" i="9"/>
  <c r="K47" i="9"/>
  <c r="J47" i="9"/>
  <c r="J46" i="9"/>
  <c r="K46" i="9" s="1"/>
  <c r="K45" i="9"/>
  <c r="J45" i="9"/>
  <c r="J44" i="9"/>
  <c r="K44" i="9" s="1"/>
  <c r="J43" i="9"/>
  <c r="K43" i="9" s="1"/>
  <c r="K42" i="9"/>
  <c r="J42" i="9"/>
  <c r="K41" i="9"/>
  <c r="J41" i="9"/>
  <c r="J40" i="9"/>
  <c r="K40" i="9" s="1"/>
  <c r="K39" i="9"/>
  <c r="J39" i="9"/>
  <c r="J38" i="9"/>
  <c r="K38" i="9" s="1"/>
  <c r="J37" i="9"/>
  <c r="K37" i="9" s="1"/>
  <c r="K36" i="9"/>
  <c r="J36" i="9"/>
  <c r="K35" i="9"/>
  <c r="J35" i="9"/>
  <c r="J34" i="9"/>
  <c r="K34" i="9" s="1"/>
  <c r="K33" i="9"/>
  <c r="J33" i="9"/>
  <c r="J32" i="9"/>
  <c r="K32" i="9" s="1"/>
  <c r="J31" i="9"/>
  <c r="K31" i="9" s="1"/>
  <c r="K30" i="9"/>
  <c r="J30" i="9"/>
  <c r="G61" i="8"/>
  <c r="K60" i="8"/>
  <c r="L61" i="8" s="1"/>
  <c r="G60" i="8"/>
  <c r="K59" i="8"/>
  <c r="G59" i="8"/>
  <c r="K58" i="8"/>
  <c r="L60" i="8" s="1"/>
  <c r="G58" i="8"/>
  <c r="K57" i="8"/>
  <c r="L59" i="8" s="1"/>
  <c r="G57" i="8"/>
  <c r="K56" i="8"/>
  <c r="L58" i="8" s="1"/>
  <c r="G56" i="8"/>
  <c r="L55" i="8"/>
  <c r="K55" i="8"/>
  <c r="L57" i="8" s="1"/>
  <c r="G55" i="8"/>
  <c r="K54" i="8"/>
  <c r="G54" i="8"/>
  <c r="K53" i="8"/>
  <c r="G53" i="8"/>
  <c r="K52" i="8"/>
  <c r="L54" i="8" s="1"/>
  <c r="G52" i="8"/>
  <c r="K51" i="8"/>
  <c r="L53" i="8" s="1"/>
  <c r="K50" i="8"/>
  <c r="G49" i="8"/>
  <c r="K33" i="8"/>
  <c r="K32" i="8"/>
  <c r="K31" i="8"/>
  <c r="K30" i="8"/>
  <c r="K29" i="8"/>
  <c r="S61" i="7"/>
  <c r="R61" i="7"/>
  <c r="S60" i="7"/>
  <c r="R60" i="7"/>
  <c r="Q60" i="7"/>
  <c r="O60" i="7"/>
  <c r="N60" i="7"/>
  <c r="S59" i="7"/>
  <c r="R59" i="7"/>
  <c r="Q59" i="7"/>
  <c r="O59" i="7"/>
  <c r="N59" i="7"/>
  <c r="S58" i="7"/>
  <c r="R58" i="7"/>
  <c r="Q58" i="7"/>
  <c r="O58" i="7"/>
  <c r="N58" i="7"/>
  <c r="S57" i="7"/>
  <c r="R57" i="7"/>
  <c r="Q57" i="7"/>
  <c r="O57" i="7"/>
  <c r="N57" i="7"/>
  <c r="S56" i="7"/>
  <c r="R56" i="7"/>
  <c r="Q56" i="7"/>
  <c r="O56" i="7"/>
  <c r="N56" i="7"/>
  <c r="S55" i="7"/>
  <c r="R55" i="7"/>
  <c r="Q55" i="7"/>
  <c r="O55" i="7"/>
  <c r="N55" i="7"/>
  <c r="S54" i="7"/>
  <c r="R54" i="7"/>
  <c r="Q54" i="7"/>
  <c r="O54" i="7"/>
  <c r="N54" i="7"/>
  <c r="S53" i="7"/>
  <c r="R53" i="7"/>
  <c r="Q53" i="7"/>
  <c r="O53" i="7"/>
  <c r="N53" i="7"/>
  <c r="S52" i="7"/>
  <c r="R52" i="7"/>
  <c r="Q52" i="7"/>
  <c r="O52" i="7"/>
  <c r="N52" i="7"/>
  <c r="S51" i="7"/>
  <c r="R51" i="7"/>
  <c r="Q51" i="7"/>
  <c r="O51" i="7"/>
  <c r="N51" i="7"/>
  <c r="S50" i="7"/>
  <c r="R50" i="7"/>
  <c r="Q50" i="7"/>
  <c r="O50" i="7"/>
  <c r="N50" i="7"/>
  <c r="S49" i="7"/>
  <c r="R49" i="7"/>
  <c r="Q49" i="7"/>
  <c r="O49" i="7"/>
  <c r="N49" i="7"/>
  <c r="S48" i="7"/>
  <c r="R48" i="7"/>
  <c r="Q48" i="7"/>
  <c r="O48" i="7"/>
  <c r="N48" i="7"/>
  <c r="M48" i="7"/>
  <c r="S47" i="7"/>
  <c r="R47" i="7"/>
  <c r="Q47" i="7"/>
  <c r="O47" i="7"/>
  <c r="N47" i="7"/>
  <c r="M47" i="7"/>
  <c r="S46" i="7"/>
  <c r="R46" i="7"/>
  <c r="Q46" i="7"/>
  <c r="O46" i="7"/>
  <c r="N46" i="7"/>
  <c r="M46" i="7"/>
  <c r="S45" i="7"/>
  <c r="R45" i="7"/>
  <c r="Q45" i="7"/>
  <c r="O45" i="7"/>
  <c r="N45" i="7"/>
  <c r="M45" i="7"/>
  <c r="S44" i="7"/>
  <c r="R44" i="7"/>
  <c r="Q44" i="7"/>
  <c r="O44" i="7"/>
  <c r="N44" i="7"/>
  <c r="M44" i="7"/>
  <c r="S43" i="7"/>
  <c r="R43" i="7"/>
  <c r="Q43" i="7"/>
  <c r="O43" i="7"/>
  <c r="N43" i="7"/>
  <c r="M43" i="7"/>
  <c r="S42" i="7"/>
  <c r="R42" i="7"/>
  <c r="M42" i="7"/>
  <c r="S41" i="7"/>
  <c r="R41" i="7"/>
  <c r="M41" i="7"/>
  <c r="S40" i="7"/>
  <c r="R40" i="7"/>
  <c r="M40" i="7"/>
  <c r="S39" i="7"/>
  <c r="R39" i="7"/>
  <c r="M39" i="7"/>
  <c r="S38" i="7"/>
  <c r="R38" i="7"/>
  <c r="M38" i="7"/>
  <c r="S37" i="7"/>
  <c r="R37" i="7"/>
  <c r="M37" i="7"/>
  <c r="S36" i="7"/>
  <c r="R36" i="7"/>
  <c r="M36" i="7"/>
  <c r="S35" i="7"/>
  <c r="R35" i="7"/>
  <c r="M35" i="7"/>
  <c r="S34" i="7"/>
  <c r="R34" i="7"/>
  <c r="M34" i="7"/>
  <c r="S33" i="7"/>
  <c r="R33" i="7"/>
  <c r="M33" i="7"/>
  <c r="S32" i="7"/>
  <c r="R32" i="7"/>
  <c r="M32" i="7"/>
  <c r="S31" i="7"/>
  <c r="R31" i="7"/>
  <c r="M31" i="7"/>
  <c r="S30" i="7"/>
  <c r="R30" i="7"/>
  <c r="M30" i="7"/>
  <c r="S29" i="7"/>
  <c r="R29" i="7"/>
  <c r="M29" i="7"/>
  <c r="S28" i="7"/>
  <c r="R28" i="7"/>
  <c r="M28" i="7"/>
  <c r="S27" i="7"/>
  <c r="R27" i="7"/>
  <c r="M27" i="7"/>
  <c r="S26" i="7"/>
  <c r="R26" i="7"/>
  <c r="M26" i="7"/>
  <c r="S25" i="7"/>
  <c r="R25" i="7"/>
  <c r="M25" i="7"/>
  <c r="S24" i="7"/>
  <c r="R24" i="7"/>
  <c r="M24" i="7"/>
  <c r="S23" i="7"/>
  <c r="R23" i="7"/>
  <c r="M23" i="7"/>
  <c r="S22" i="7"/>
  <c r="R22" i="7"/>
  <c r="M22" i="7"/>
  <c r="S21" i="7"/>
  <c r="R21" i="7"/>
  <c r="M21" i="7"/>
  <c r="S20" i="7"/>
  <c r="R20" i="7"/>
  <c r="M20" i="7"/>
  <c r="S19" i="7"/>
  <c r="R19" i="7"/>
  <c r="M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M6" i="7"/>
  <c r="S5" i="7"/>
  <c r="R5" i="7"/>
  <c r="M5" i="7"/>
  <c r="X61" i="6"/>
  <c r="W61" i="6"/>
  <c r="U61" i="6"/>
  <c r="X60" i="6"/>
  <c r="W60" i="6"/>
  <c r="U60" i="6"/>
  <c r="U59" i="6"/>
  <c r="U58" i="6"/>
  <c r="U57" i="6"/>
  <c r="Q57" i="6"/>
  <c r="U56" i="6"/>
  <c r="U55" i="6"/>
  <c r="U54" i="6"/>
  <c r="U53" i="6"/>
  <c r="U52" i="6"/>
  <c r="U51" i="6"/>
  <c r="U50" i="6"/>
  <c r="U49" i="6"/>
  <c r="Q48" i="6"/>
  <c r="U48" i="6" s="1"/>
  <c r="U47" i="6"/>
  <c r="U46" i="6"/>
  <c r="U45" i="6"/>
  <c r="U44" i="6"/>
  <c r="U43" i="6"/>
  <c r="U42" i="6"/>
  <c r="U41" i="6"/>
  <c r="U40" i="6"/>
  <c r="U39" i="6"/>
  <c r="U38" i="6"/>
  <c r="R37" i="6"/>
  <c r="U37" i="6" s="1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L11" i="6"/>
  <c r="U11" i="6" s="1"/>
  <c r="U10" i="6"/>
  <c r="U9" i="6"/>
  <c r="L9" i="6"/>
  <c r="U8" i="6"/>
  <c r="U7" i="6"/>
  <c r="U6" i="6"/>
  <c r="U5" i="6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Q61" i="4"/>
  <c r="Q60" i="4"/>
  <c r="Q59" i="4"/>
  <c r="Q58" i="4"/>
  <c r="D57" i="4"/>
  <c r="C57" i="4"/>
  <c r="E57" i="4" s="1"/>
  <c r="M57" i="4" s="1"/>
  <c r="Q57" i="4" s="1"/>
  <c r="E56" i="4"/>
  <c r="M56" i="4" s="1"/>
  <c r="Q56" i="4" s="1"/>
  <c r="E55" i="4"/>
  <c r="M55" i="4" s="1"/>
  <c r="Q55" i="4" s="1"/>
  <c r="E54" i="4"/>
  <c r="M54" i="4" s="1"/>
  <c r="Q54" i="4" s="1"/>
  <c r="M53" i="4"/>
  <c r="Q53" i="4" s="1"/>
  <c r="F53" i="4"/>
  <c r="E53" i="4"/>
  <c r="E52" i="4"/>
  <c r="M52" i="4" s="1"/>
  <c r="Q52" i="4" s="1"/>
  <c r="D51" i="4"/>
  <c r="C51" i="4"/>
  <c r="E51" i="4" s="1"/>
  <c r="Q51" i="4" s="1"/>
  <c r="D50" i="4"/>
  <c r="C50" i="4"/>
  <c r="E50" i="4" s="1"/>
  <c r="Q50" i="4" s="1"/>
  <c r="Q49" i="4"/>
  <c r="E49" i="4"/>
  <c r="E48" i="4"/>
  <c r="Q48" i="4" s="1"/>
  <c r="D48" i="4"/>
  <c r="C48" i="4"/>
  <c r="D47" i="4"/>
  <c r="E47" i="4" s="1"/>
  <c r="Q47" i="4" s="1"/>
  <c r="C47" i="4"/>
  <c r="D46" i="4"/>
  <c r="E46" i="4" s="1"/>
  <c r="Q46" i="4" s="1"/>
  <c r="C46" i="4"/>
  <c r="E45" i="4"/>
  <c r="Q45" i="4" s="1"/>
  <c r="D45" i="4"/>
  <c r="C45" i="4"/>
  <c r="D44" i="4"/>
  <c r="E44" i="4" s="1"/>
  <c r="Q44" i="4" s="1"/>
  <c r="C44" i="4"/>
  <c r="Q43" i="4"/>
  <c r="E43" i="4"/>
  <c r="Q42" i="4"/>
  <c r="E42" i="4"/>
  <c r="E41" i="4"/>
  <c r="Q41" i="4" s="1"/>
  <c r="E40" i="4"/>
  <c r="Q40" i="4" s="1"/>
  <c r="E39" i="4"/>
  <c r="Q39" i="4" s="1"/>
  <c r="Q38" i="4"/>
  <c r="E38" i="4"/>
  <c r="Q37" i="4"/>
  <c r="E37" i="4"/>
  <c r="Q36" i="4"/>
  <c r="E36" i="4"/>
  <c r="E35" i="4"/>
  <c r="Q35" i="4" s="1"/>
  <c r="E34" i="4"/>
  <c r="Q34" i="4" s="1"/>
  <c r="E33" i="4"/>
  <c r="Q33" i="4" s="1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D9" i="4"/>
  <c r="Q9" i="4" s="1"/>
  <c r="C9" i="4"/>
  <c r="Q8" i="4"/>
  <c r="D8" i="4"/>
  <c r="C8" i="4"/>
  <c r="Q7" i="4"/>
  <c r="Q6" i="4"/>
  <c r="Q5" i="4"/>
  <c r="S61" i="3"/>
  <c r="S60" i="3"/>
  <c r="S59" i="3"/>
  <c r="S58" i="3"/>
  <c r="S57" i="3"/>
  <c r="J57" i="3"/>
  <c r="F57" i="3"/>
  <c r="S56" i="3"/>
  <c r="S55" i="3"/>
  <c r="S54" i="3"/>
  <c r="S53" i="3"/>
  <c r="S52" i="3"/>
  <c r="J51" i="3"/>
  <c r="F51" i="3"/>
  <c r="S51" i="3" s="1"/>
  <c r="S50" i="3"/>
  <c r="S49" i="3"/>
  <c r="F49" i="3"/>
  <c r="S48" i="3"/>
  <c r="J48" i="3"/>
  <c r="F48" i="3"/>
  <c r="J47" i="3"/>
  <c r="F47" i="3"/>
  <c r="S47" i="3" s="1"/>
  <c r="J46" i="3"/>
  <c r="F46" i="3"/>
  <c r="S46" i="3" s="1"/>
  <c r="J45" i="3"/>
  <c r="S45" i="3" s="1"/>
  <c r="F45" i="3"/>
  <c r="S44" i="3"/>
  <c r="J44" i="3"/>
  <c r="F44" i="3"/>
  <c r="F43" i="3"/>
  <c r="S43" i="3" s="1"/>
  <c r="S42" i="3"/>
  <c r="F42" i="3"/>
  <c r="F41" i="3"/>
  <c r="S41" i="3" s="1"/>
  <c r="F40" i="3"/>
  <c r="S40" i="3" s="1"/>
  <c r="F39" i="3"/>
  <c r="S39" i="3" s="1"/>
  <c r="F38" i="3"/>
  <c r="S38" i="3" s="1"/>
  <c r="S37" i="3"/>
  <c r="F37" i="3"/>
  <c r="S36" i="3"/>
  <c r="F36" i="3"/>
  <c r="S35" i="3"/>
  <c r="F34" i="3"/>
  <c r="S34" i="3" s="1"/>
  <c r="S33" i="3"/>
  <c r="F33" i="3"/>
  <c r="S32" i="3"/>
  <c r="F32" i="3"/>
  <c r="S31" i="3"/>
  <c r="F31" i="3"/>
  <c r="F30" i="3"/>
  <c r="S30" i="3" s="1"/>
  <c r="J29" i="3"/>
  <c r="F29" i="3"/>
  <c r="S29" i="3" s="1"/>
  <c r="F28" i="3"/>
  <c r="S28" i="3" s="1"/>
  <c r="F27" i="3"/>
  <c r="S27" i="3" s="1"/>
  <c r="F26" i="3"/>
  <c r="S26" i="3" s="1"/>
  <c r="S25" i="3"/>
  <c r="F25" i="3"/>
  <c r="S24" i="3"/>
  <c r="F24" i="3"/>
  <c r="F23" i="3"/>
  <c r="S23" i="3" s="1"/>
  <c r="F22" i="3"/>
  <c r="S22" i="3" s="1"/>
  <c r="F21" i="3"/>
  <c r="S21" i="3" s="1"/>
  <c r="F20" i="3"/>
  <c r="S20" i="3" s="1"/>
  <c r="S19" i="3"/>
  <c r="F19" i="3"/>
  <c r="S18" i="3"/>
  <c r="F18" i="3"/>
  <c r="F17" i="3"/>
  <c r="S17" i="3" s="1"/>
  <c r="F16" i="3"/>
  <c r="S16" i="3" s="1"/>
  <c r="J15" i="3"/>
  <c r="F15" i="3"/>
  <c r="S15" i="3" s="1"/>
  <c r="S14" i="3"/>
  <c r="F14" i="3"/>
  <c r="F13" i="3"/>
  <c r="S13" i="3" s="1"/>
  <c r="F12" i="3"/>
  <c r="S12" i="3" s="1"/>
  <c r="J11" i="3"/>
  <c r="F11" i="3"/>
  <c r="S11" i="3" s="1"/>
  <c r="S10" i="3"/>
  <c r="S9" i="3"/>
  <c r="J9" i="3"/>
  <c r="S8" i="3"/>
  <c r="S7" i="3"/>
  <c r="S6" i="3"/>
  <c r="T5" i="3"/>
  <c r="S5" i="3"/>
  <c r="U61" i="2"/>
  <c r="G61" i="2"/>
  <c r="I61" i="2" s="1"/>
  <c r="U60" i="2"/>
  <c r="I60" i="2"/>
  <c r="G60" i="2"/>
  <c r="U59" i="2"/>
  <c r="P59" i="2"/>
  <c r="G59" i="2"/>
  <c r="I59" i="2" s="1"/>
  <c r="U58" i="2"/>
  <c r="G58" i="2"/>
  <c r="I58" i="2" s="1"/>
  <c r="U57" i="2"/>
  <c r="Q57" i="2"/>
  <c r="G57" i="2"/>
  <c r="I57" i="2" s="1"/>
  <c r="U56" i="2"/>
  <c r="Q56" i="2"/>
  <c r="P56" i="2"/>
  <c r="G56" i="2"/>
  <c r="I56" i="2" s="1"/>
  <c r="U55" i="2"/>
  <c r="Q55" i="2"/>
  <c r="P55" i="2"/>
  <c r="G55" i="2"/>
  <c r="I55" i="2" s="1"/>
  <c r="U54" i="2"/>
  <c r="Q54" i="2"/>
  <c r="G54" i="2"/>
  <c r="I54" i="2" s="1"/>
  <c r="U53" i="2"/>
  <c r="Q53" i="2"/>
  <c r="G53" i="2"/>
  <c r="I53" i="2" s="1"/>
  <c r="U52" i="2"/>
  <c r="Q52" i="2"/>
  <c r="G52" i="2"/>
  <c r="I52" i="2" s="1"/>
  <c r="U51" i="2"/>
  <c r="Q51" i="2"/>
  <c r="U50" i="2"/>
  <c r="Q50" i="2"/>
  <c r="U49" i="2"/>
  <c r="Q49" i="2"/>
  <c r="O49" i="2"/>
  <c r="G49" i="2"/>
  <c r="U48" i="2"/>
  <c r="Q48" i="2"/>
  <c r="O48" i="2"/>
  <c r="U47" i="2"/>
  <c r="Q47" i="2"/>
  <c r="J47" i="2"/>
  <c r="U46" i="2"/>
  <c r="Q46" i="2"/>
  <c r="J46" i="2"/>
  <c r="U45" i="2"/>
  <c r="Q45" i="2"/>
  <c r="U44" i="2"/>
  <c r="Q44" i="2"/>
  <c r="U43" i="2"/>
  <c r="Q43" i="2"/>
  <c r="J43" i="2"/>
  <c r="U42" i="2"/>
  <c r="Q42" i="2"/>
  <c r="Q41" i="2"/>
  <c r="G41" i="2"/>
  <c r="I41" i="2" s="1"/>
  <c r="J41" i="2" s="1"/>
  <c r="U41" i="2" s="1"/>
  <c r="Q40" i="2"/>
  <c r="I40" i="2"/>
  <c r="J40" i="2" s="1"/>
  <c r="G40" i="2"/>
  <c r="U39" i="2"/>
  <c r="Q39" i="2"/>
  <c r="U38" i="2"/>
  <c r="Q38" i="2"/>
  <c r="U37" i="2"/>
  <c r="Q37" i="2"/>
  <c r="U36" i="2"/>
  <c r="Q36" i="2"/>
  <c r="U35" i="2"/>
  <c r="Q35" i="2"/>
  <c r="U34" i="2"/>
  <c r="Q34" i="2"/>
  <c r="U33" i="2"/>
  <c r="Q33" i="2"/>
  <c r="U32" i="2"/>
  <c r="Q32" i="2"/>
  <c r="U31" i="2"/>
  <c r="Q31" i="2"/>
  <c r="U30" i="2"/>
  <c r="Q30" i="2"/>
  <c r="U29" i="2"/>
  <c r="Q29" i="2"/>
  <c r="U28" i="2"/>
  <c r="Q28" i="2"/>
  <c r="U27" i="2"/>
  <c r="Q27" i="2"/>
  <c r="U26" i="2"/>
  <c r="Q26" i="2"/>
  <c r="U25" i="2"/>
  <c r="Q25" i="2"/>
  <c r="U24" i="2"/>
  <c r="Q24" i="2"/>
  <c r="U23" i="2"/>
  <c r="Q23" i="2"/>
  <c r="U22" i="2"/>
  <c r="Q22" i="2"/>
  <c r="U21" i="2"/>
  <c r="Q21" i="2"/>
  <c r="U20" i="2"/>
  <c r="Q20" i="2"/>
  <c r="U19" i="2"/>
  <c r="Q19" i="2"/>
  <c r="U18" i="2"/>
  <c r="Q18" i="2"/>
  <c r="U17" i="2"/>
  <c r="Q17" i="2"/>
  <c r="U16" i="2"/>
  <c r="Q16" i="2"/>
  <c r="U15" i="2"/>
  <c r="Q15" i="2"/>
  <c r="U14" i="2"/>
  <c r="Q14" i="2"/>
  <c r="U13" i="2"/>
  <c r="Q13" i="2"/>
  <c r="U12" i="2"/>
  <c r="Q12" i="2"/>
  <c r="U11" i="2"/>
  <c r="Q11" i="2"/>
  <c r="U10" i="2"/>
  <c r="Q10" i="2"/>
  <c r="U9" i="2"/>
  <c r="Q9" i="2"/>
  <c r="U8" i="2"/>
  <c r="Q8" i="2"/>
  <c r="U7" i="2"/>
  <c r="Q7" i="2"/>
  <c r="U6" i="2"/>
  <c r="Q6" i="2"/>
  <c r="U5" i="2"/>
  <c r="Q5" i="2"/>
  <c r="N40" i="2" l="1"/>
  <c r="U40" i="2" s="1"/>
  <c r="M33" i="12"/>
  <c r="J33" i="12"/>
  <c r="W45" i="10"/>
  <c r="W53" i="10"/>
  <c r="W61" i="10"/>
  <c r="J25" i="12"/>
  <c r="L52" i="8"/>
  <c r="L56" i="8"/>
  <c r="Z49" i="10"/>
  <c r="Z57" i="10"/>
  <c r="M21" i="12"/>
  <c r="M29" i="12"/>
  <c r="J37" i="12"/>
  <c r="J41" i="12"/>
  <c r="J44" i="12"/>
  <c r="J47" i="12"/>
  <c r="M50" i="12"/>
  <c r="M58" i="12"/>
  <c r="J34" i="12"/>
  <c r="J38" i="12"/>
  <c r="J42" i="12"/>
  <c r="J45" i="12"/>
  <c r="J48" i="12"/>
  <c r="J60" i="12"/>
  <c r="P60" i="2" s="1"/>
  <c r="J53" i="12"/>
  <c r="P53" i="2" s="1"/>
  <c r="W44" i="10"/>
  <c r="W48" i="10"/>
  <c r="W52" i="10"/>
  <c r="W56" i="10"/>
  <c r="W60" i="10"/>
  <c r="J20" i="12"/>
  <c r="J24" i="12"/>
  <c r="J28" i="12"/>
  <c r="J32" i="12"/>
  <c r="J43" i="12"/>
  <c r="J46" i="12"/>
  <c r="J49" i="12"/>
  <c r="J57" i="12"/>
  <c r="P57" i="2" s="1"/>
  <c r="J61" i="12"/>
</calcChain>
</file>

<file path=xl/comments1.xml><?xml version="1.0" encoding="utf-8"?>
<comments xmlns="http://schemas.openxmlformats.org/spreadsheetml/2006/main">
  <authors>
    <author>端数調整</author>
  </authors>
  <commentList>
    <comment ref="M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東川原工業団地売却
</t>
        </r>
      </text>
    </comment>
  </commentList>
</comments>
</file>

<file path=xl/sharedStrings.xml><?xml version="1.0" encoding="utf-8"?>
<sst xmlns="http://schemas.openxmlformats.org/spreadsheetml/2006/main" count="2238" uniqueCount="373">
  <si>
    <t>普通会計決算の状況</t>
  </si>
  <si>
    <t>年　度</t>
    <phoneticPr fontId="5"/>
  </si>
  <si>
    <t>差引額</t>
  </si>
  <si>
    <t>実質収支</t>
  </si>
  <si>
    <t>単年度収支</t>
  </si>
  <si>
    <t>積立金</t>
    <rPh sb="0" eb="2">
      <t>ツミタテ</t>
    </rPh>
    <rPh sb="2" eb="3">
      <t>キン</t>
    </rPh>
    <phoneticPr fontId="5"/>
  </si>
  <si>
    <t>実質</t>
    <rPh sb="0" eb="2">
      <t>ジッシツ</t>
    </rPh>
    <phoneticPr fontId="5"/>
  </si>
  <si>
    <t>地方債現在高</t>
  </si>
  <si>
    <t>標準財政規模</t>
  </si>
  <si>
    <t>住基人口</t>
    <rPh sb="2" eb="4">
      <t>ジンコウ</t>
    </rPh>
    <phoneticPr fontId="5"/>
  </si>
  <si>
    <t>歳入総額</t>
  </si>
  <si>
    <t>歳出総額</t>
  </si>
  <si>
    <t>繰越す</t>
  </si>
  <si>
    <t>繰上</t>
    <rPh sb="0" eb="2">
      <t>クリアゲ</t>
    </rPh>
    <phoneticPr fontId="5"/>
  </si>
  <si>
    <t>実質単</t>
    <rPh sb="2" eb="3">
      <t>タン</t>
    </rPh>
    <phoneticPr fontId="5"/>
  </si>
  <si>
    <t>実質収</t>
    <phoneticPr fontId="5"/>
  </si>
  <si>
    <t>公債費</t>
  </si>
  <si>
    <t>ｃ</t>
    <phoneticPr fontId="5"/>
  </si>
  <si>
    <t>外国人含</t>
    <rPh sb="0" eb="2">
      <t>ガイコク</t>
    </rPh>
    <rPh sb="2" eb="3">
      <t>ジン</t>
    </rPh>
    <rPh sb="3" eb="4">
      <t>フク</t>
    </rPh>
    <phoneticPr fontId="5"/>
  </si>
  <si>
    <t>べき財源</t>
  </si>
  <si>
    <t>償還金</t>
    <rPh sb="0" eb="2">
      <t>ショウカン</t>
    </rPh>
    <rPh sb="2" eb="3">
      <t>キン</t>
    </rPh>
    <phoneticPr fontId="5"/>
  </si>
  <si>
    <t>取崩額</t>
    <rPh sb="0" eb="2">
      <t>トリクズ</t>
    </rPh>
    <rPh sb="2" eb="3">
      <t>ガク</t>
    </rPh>
    <phoneticPr fontId="5"/>
  </si>
  <si>
    <t>年度収支</t>
    <phoneticPr fontId="5"/>
  </si>
  <si>
    <t xml:space="preserve"> 支比率</t>
  </si>
  <si>
    <t>　比率</t>
  </si>
  <si>
    <t>昭和40年度</t>
  </si>
  <si>
    <t>-</t>
  </si>
  <si>
    <t>-</t>
    <phoneticPr fontId="5"/>
  </si>
  <si>
    <t>昭和41年度</t>
  </si>
  <si>
    <t>昭和42年度</t>
  </si>
  <si>
    <t>昭和43年度</t>
  </si>
  <si>
    <t>昭和44年度</t>
  </si>
  <si>
    <t>昭和45年度</t>
  </si>
  <si>
    <t>昭和46年度</t>
  </si>
  <si>
    <t>昭和47年度</t>
  </si>
  <si>
    <t>昭和48年度</t>
  </si>
  <si>
    <t>昭和49年度</t>
  </si>
  <si>
    <t>昭和50年度</t>
  </si>
  <si>
    <t>昭和51年度</t>
  </si>
  <si>
    <t>昭和52年度</t>
  </si>
  <si>
    <t>昭和53年度</t>
  </si>
  <si>
    <t>昭和54年度</t>
  </si>
  <si>
    <t>昭和55年度</t>
  </si>
  <si>
    <t>昭和56年度</t>
  </si>
  <si>
    <t>昭和57年度</t>
  </si>
  <si>
    <t>昭和58年度</t>
  </si>
  <si>
    <t>昭和59年度</t>
  </si>
  <si>
    <t>昭和60年度</t>
  </si>
  <si>
    <t>昭和61年度</t>
  </si>
  <si>
    <t>昭和62年度</t>
  </si>
  <si>
    <t>昭和63年度</t>
  </si>
  <si>
    <t>平成元年度</t>
  </si>
  <si>
    <t>消費税３％</t>
    <rPh sb="0" eb="3">
      <t>ショウヒゼイ</t>
    </rPh>
    <phoneticPr fontId="5"/>
  </si>
  <si>
    <t>平成２年度</t>
  </si>
  <si>
    <t>平成３年度</t>
  </si>
  <si>
    <t>平成４年度</t>
  </si>
  <si>
    <t>平成５年度</t>
  </si>
  <si>
    <t>平成６年度</t>
  </si>
  <si>
    <t>平成７年度</t>
  </si>
  <si>
    <t>平成８年度</t>
  </si>
  <si>
    <t>平成９年度</t>
  </si>
  <si>
    <t>消費税５％</t>
    <rPh sb="0" eb="3">
      <t>ショウヒゼイ</t>
    </rPh>
    <phoneticPr fontId="5"/>
  </si>
  <si>
    <t>平成10年度</t>
    <phoneticPr fontId="5"/>
  </si>
  <si>
    <t>平成11年度</t>
    <phoneticPr fontId="5"/>
  </si>
  <si>
    <t>平成12年度</t>
    <phoneticPr fontId="5"/>
  </si>
  <si>
    <t>平成13年度</t>
    <phoneticPr fontId="5"/>
  </si>
  <si>
    <t>平成14年度</t>
    <phoneticPr fontId="5"/>
  </si>
  <si>
    <t>平成15年度</t>
  </si>
  <si>
    <t>平成16年度</t>
  </si>
  <si>
    <t>平成17年度</t>
  </si>
  <si>
    <t>平成18年度</t>
  </si>
  <si>
    <t>平成19年度</t>
    <phoneticPr fontId="5"/>
  </si>
  <si>
    <t>三位一体の改革による税源移譲</t>
    <rPh sb="0" eb="2">
      <t>サンミ</t>
    </rPh>
    <rPh sb="2" eb="4">
      <t>イッタイ</t>
    </rPh>
    <rPh sb="5" eb="7">
      <t>カイカク</t>
    </rPh>
    <rPh sb="10" eb="12">
      <t>ゼイゲン</t>
    </rPh>
    <rPh sb="12" eb="14">
      <t>イジョウ</t>
    </rPh>
    <phoneticPr fontId="5"/>
  </si>
  <si>
    <t>平成20年度</t>
    <rPh sb="0" eb="2">
      <t>ヘイセイ</t>
    </rPh>
    <rPh sb="4" eb="6">
      <t>ネンド</t>
    </rPh>
    <phoneticPr fontId="5"/>
  </si>
  <si>
    <t>リーマンショック</t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</si>
  <si>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</si>
  <si>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</si>
  <si>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</si>
  <si>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</si>
  <si>
    <t>平成25年度</t>
    <rPh sb="0" eb="2">
      <t>ヘイセイ</t>
    </rPh>
    <rPh sb="4" eb="6">
      <t>ネンド</t>
    </rPh>
    <phoneticPr fontId="5"/>
  </si>
  <si>
    <t>消費税８％</t>
    <rPh sb="0" eb="3">
      <t>ショウヒゼイ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</si>
  <si>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</si>
  <si>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</si>
  <si>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</si>
  <si>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</si>
  <si>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</si>
  <si>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</si>
  <si>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令和２年度</t>
    <rPh sb="0" eb="2">
      <t>レイワ</t>
    </rPh>
    <rPh sb="3" eb="5">
      <t>ネンド</t>
    </rPh>
    <rPh sb="4" eb="5">
      <t>ド</t>
    </rPh>
    <phoneticPr fontId="5"/>
  </si>
  <si>
    <t>消費税１０％</t>
    <rPh sb="0" eb="3">
      <t>ショウヒゼイ</t>
    </rPh>
    <phoneticPr fontId="5"/>
  </si>
  <si>
    <t>令和３年度</t>
    <rPh sb="0" eb="2">
      <t>レイワ</t>
    </rPh>
    <rPh sb="3" eb="5">
      <t>ネンド</t>
    </rPh>
    <rPh sb="4" eb="5">
      <t>ド</t>
    </rPh>
    <phoneticPr fontId="5"/>
  </si>
  <si>
    <t>↑普通交付税（需要）基礎数値を！</t>
    <rPh sb="1" eb="3">
      <t>フツウ</t>
    </rPh>
    <rPh sb="3" eb="6">
      <t>コウフゼイ</t>
    </rPh>
    <rPh sb="7" eb="9">
      <t>ジュヨウ</t>
    </rPh>
    <rPh sb="10" eb="12">
      <t>キソ</t>
    </rPh>
    <rPh sb="12" eb="14">
      <t>スウチ</t>
    </rPh>
    <phoneticPr fontId="5"/>
  </si>
  <si>
    <t>　※H24以降の基礎数値は外国人含むのもとなっています。</t>
    <rPh sb="5" eb="7">
      <t>イコウ</t>
    </rPh>
    <rPh sb="8" eb="10">
      <t>キソ</t>
    </rPh>
    <rPh sb="10" eb="12">
      <t>スウチ</t>
    </rPh>
    <rPh sb="13" eb="15">
      <t>ガイコク</t>
    </rPh>
    <rPh sb="15" eb="16">
      <t>ジン</t>
    </rPh>
    <rPh sb="16" eb="17">
      <t>フク</t>
    </rPh>
    <phoneticPr fontId="5"/>
  </si>
  <si>
    <t>↑繰上償還シートから転記を！</t>
    <phoneticPr fontId="5"/>
  </si>
  <si>
    <t>歳入の内訳(決算統計ベース)</t>
    <rPh sb="6" eb="8">
      <t>ケッサン</t>
    </rPh>
    <rPh sb="8" eb="10">
      <t>トウケイ</t>
    </rPh>
    <phoneticPr fontId="5"/>
  </si>
  <si>
    <t>年　度</t>
  </si>
  <si>
    <t>　町　　税</t>
  </si>
  <si>
    <t>地方交付税</t>
  </si>
  <si>
    <t>譲与税</t>
  </si>
  <si>
    <t>交付金</t>
    <rPh sb="0" eb="3">
      <t>コウフキン</t>
    </rPh>
    <phoneticPr fontId="5"/>
  </si>
  <si>
    <t>交付金の内地方消費税交付金</t>
    <phoneticPr fontId="5"/>
  </si>
  <si>
    <t>分担金及び負担金</t>
    <rPh sb="3" eb="4">
      <t>オヨ</t>
    </rPh>
    <phoneticPr fontId="5"/>
  </si>
  <si>
    <t>寄附金</t>
    <rPh sb="0" eb="3">
      <t>キフキン</t>
    </rPh>
    <phoneticPr fontId="5"/>
  </si>
  <si>
    <t>使用料手数料</t>
    <phoneticPr fontId="5"/>
  </si>
  <si>
    <t>国庫支出金</t>
    <phoneticPr fontId="5"/>
  </si>
  <si>
    <t>県支出金</t>
  </si>
  <si>
    <t>財産収入</t>
  </si>
  <si>
    <t>地方債</t>
  </si>
  <si>
    <t>繰入金</t>
    <rPh sb="0" eb="2">
      <t>クリイレ</t>
    </rPh>
    <rPh sb="2" eb="3">
      <t>キン</t>
    </rPh>
    <phoneticPr fontId="5"/>
  </si>
  <si>
    <t>繰越金</t>
    <rPh sb="0" eb="2">
      <t>クリコシ</t>
    </rPh>
    <rPh sb="2" eb="3">
      <t>キン</t>
    </rPh>
    <phoneticPr fontId="5"/>
  </si>
  <si>
    <t>諸収入</t>
    <phoneticPr fontId="5"/>
  </si>
  <si>
    <t>Ｃ</t>
  </si>
  <si>
    <t>？</t>
    <phoneticPr fontId="5"/>
  </si>
  <si>
    <t>平成24年度</t>
    <rPh sb="0" eb="2">
      <t>ヘイセイ</t>
    </rPh>
    <rPh sb="4" eb="6">
      <t>ネンド</t>
    </rPh>
    <phoneticPr fontId="5"/>
  </si>
  <si>
    <t>町税の内訳</t>
  </si>
  <si>
    <t>個人町民税</t>
  </si>
  <si>
    <t>法人町民税</t>
  </si>
  <si>
    <t>町民税計</t>
  </si>
  <si>
    <t>固定資産税</t>
  </si>
  <si>
    <t>軽自動車税</t>
  </si>
  <si>
    <t>たばこ税</t>
  </si>
  <si>
    <t>たばこ消費税</t>
    <rPh sb="3" eb="6">
      <t>ショウヒゼイ</t>
    </rPh>
    <phoneticPr fontId="5"/>
  </si>
  <si>
    <t>電気税</t>
  </si>
  <si>
    <t>その他普通税</t>
    <phoneticPr fontId="5"/>
  </si>
  <si>
    <t>目的税
（入湯税）</t>
    <rPh sb="5" eb="7">
      <t>ニュウトウ</t>
    </rPh>
    <rPh sb="7" eb="8">
      <t>ゼイ</t>
    </rPh>
    <phoneticPr fontId="5"/>
  </si>
  <si>
    <t xml:space="preserve"> 町税合計</t>
  </si>
  <si>
    <t>　　徴　収　率</t>
  </si>
  <si>
    <t>現年</t>
  </si>
  <si>
    <t>滞繰</t>
  </si>
  <si>
    <t>計</t>
  </si>
  <si>
    <t>..........</t>
  </si>
  <si>
    <t>...........</t>
  </si>
  <si>
    <t>平成20年度</t>
    <phoneticPr fontId="5"/>
  </si>
  <si>
    <t>平成21年度</t>
    <phoneticPr fontId="5"/>
  </si>
  <si>
    <t>平成22年度</t>
    <phoneticPr fontId="5"/>
  </si>
  <si>
    <t>平成23年度</t>
    <phoneticPr fontId="5"/>
  </si>
  <si>
    <t>平成24年度</t>
    <phoneticPr fontId="5"/>
  </si>
  <si>
    <t>平成25年度</t>
    <phoneticPr fontId="5"/>
  </si>
  <si>
    <t>平成26年度</t>
  </si>
  <si>
    <t>平成27年度</t>
  </si>
  <si>
    <t>平成28年度</t>
  </si>
  <si>
    <t>平成29年度</t>
  </si>
  <si>
    <t>平成30年度</t>
  </si>
  <si>
    <t>令和元年度</t>
    <rPh sb="0" eb="5">
      <t>レイワガンネンド</t>
    </rPh>
    <phoneticPr fontId="5"/>
  </si>
  <si>
    <t>令和２年度</t>
    <rPh sb="0" eb="2">
      <t>レイワ</t>
    </rPh>
    <rPh sb="3" eb="5">
      <t>ネンド</t>
    </rPh>
    <phoneticPr fontId="5"/>
  </si>
  <si>
    <t>令和３年度</t>
    <rPh sb="0" eb="2">
      <t>レイワ</t>
    </rPh>
    <rPh sb="3" eb="5">
      <t>ネンド</t>
    </rPh>
    <phoneticPr fontId="5"/>
  </si>
  <si>
    <t>本表の合計と歳入の内訳の町税と整合しないのは41､49臨時地方交付金</t>
  </si>
  <si>
    <t>歳出目的別内訳</t>
  </si>
  <si>
    <t>議会費</t>
  </si>
  <si>
    <t>総務費</t>
  </si>
  <si>
    <t>民生費
（労働費）</t>
    <rPh sb="0" eb="2">
      <t>ミンセイ</t>
    </rPh>
    <rPh sb="2" eb="3">
      <t>ヒ</t>
    </rPh>
    <phoneticPr fontId="5"/>
  </si>
  <si>
    <t>労働費</t>
    <rPh sb="0" eb="3">
      <t>ロウドウヒ</t>
    </rPh>
    <phoneticPr fontId="5"/>
  </si>
  <si>
    <t>衛生費</t>
  </si>
  <si>
    <t>農林水産業費</t>
  </si>
  <si>
    <t>商工費</t>
  </si>
  <si>
    <t>土木費</t>
  </si>
  <si>
    <t>消防費</t>
  </si>
  <si>
    <t>教育費</t>
  </si>
  <si>
    <t>災害復旧費
（公債費）
（その他）</t>
    <phoneticPr fontId="5"/>
  </si>
  <si>
    <t>公債費</t>
    <rPh sb="0" eb="2">
      <t>コウサイ</t>
    </rPh>
    <rPh sb="2" eb="3">
      <t>ヒ</t>
    </rPh>
    <phoneticPr fontId="5"/>
  </si>
  <si>
    <t>諸支出金</t>
    <rPh sb="0" eb="1">
      <t>ショ</t>
    </rPh>
    <rPh sb="1" eb="4">
      <t>シシュツキン</t>
    </rPh>
    <phoneticPr fontId="5"/>
  </si>
  <si>
    <t>前年度繰上
充用金</t>
    <rPh sb="0" eb="3">
      <t>ゼンネンド</t>
    </rPh>
    <phoneticPr fontId="5"/>
  </si>
  <si>
    <t>平成22年度</t>
  </si>
  <si>
    <t>歳出性質別内訳の推移</t>
  </si>
  <si>
    <t>人件費</t>
  </si>
  <si>
    <t>Ａの内</t>
    <rPh sb="2" eb="3">
      <t>ウチ</t>
    </rPh>
    <phoneticPr fontId="5"/>
  </si>
  <si>
    <t>物件費</t>
  </si>
  <si>
    <t>Ｂの内</t>
    <rPh sb="2" eb="3">
      <t>ウチ</t>
    </rPh>
    <phoneticPr fontId="5"/>
  </si>
  <si>
    <t>維持補修費</t>
  </si>
  <si>
    <t>扶助費</t>
  </si>
  <si>
    <t>補助費等</t>
    <rPh sb="0" eb="2">
      <t>ホジョ</t>
    </rPh>
    <rPh sb="2" eb="3">
      <t>ヒ</t>
    </rPh>
    <rPh sb="3" eb="4">
      <t>トウ</t>
    </rPh>
    <phoneticPr fontId="5"/>
  </si>
  <si>
    <t>普通建設</t>
  </si>
  <si>
    <t>左の内</t>
    <rPh sb="0" eb="1">
      <t>ヒダリ</t>
    </rPh>
    <rPh sb="2" eb="3">
      <t>ウチ</t>
    </rPh>
    <phoneticPr fontId="5"/>
  </si>
  <si>
    <t>災害復旧</t>
  </si>
  <si>
    <t>失業対策</t>
  </si>
  <si>
    <t>積立金</t>
  </si>
  <si>
    <t>投資出資</t>
    <rPh sb="0" eb="2">
      <t>トウシ</t>
    </rPh>
    <rPh sb="2" eb="4">
      <t>シュッシ</t>
    </rPh>
    <phoneticPr fontId="5"/>
  </si>
  <si>
    <t>繰出金</t>
  </si>
  <si>
    <t>前年度</t>
    <rPh sb="0" eb="3">
      <t>ゼンネンド</t>
    </rPh>
    <phoneticPr fontId="5"/>
  </si>
  <si>
    <t>Ａ</t>
    <phoneticPr fontId="5"/>
  </si>
  <si>
    <t>職員給</t>
    <rPh sb="0" eb="2">
      <t>ショクイン</t>
    </rPh>
    <rPh sb="2" eb="3">
      <t>キュウ</t>
    </rPh>
    <phoneticPr fontId="5"/>
  </si>
  <si>
    <t>非常勤報酬</t>
    <rPh sb="0" eb="3">
      <t>ヒジョウキン</t>
    </rPh>
    <rPh sb="3" eb="5">
      <t>ホウシュウ</t>
    </rPh>
    <phoneticPr fontId="5"/>
  </si>
  <si>
    <t>Ｂ</t>
    <phoneticPr fontId="5"/>
  </si>
  <si>
    <t>委託料</t>
    <rPh sb="0" eb="3">
      <t>イタクリョウ</t>
    </rPh>
    <phoneticPr fontId="5"/>
  </si>
  <si>
    <t>事業費</t>
  </si>
  <si>
    <t>補助</t>
    <rPh sb="0" eb="2">
      <t>ホジョ</t>
    </rPh>
    <phoneticPr fontId="5"/>
  </si>
  <si>
    <t>貸付金</t>
    <rPh sb="0" eb="2">
      <t>カシツケ</t>
    </rPh>
    <rPh sb="2" eb="3">
      <t>キン</t>
    </rPh>
    <phoneticPr fontId="5"/>
  </si>
  <si>
    <t>繰上充用金</t>
    <rPh sb="0" eb="2">
      <t>クリアゲ</t>
    </rPh>
    <rPh sb="2" eb="4">
      <t>ジュウヨウ</t>
    </rPh>
    <rPh sb="4" eb="5">
      <t>キン</t>
    </rPh>
    <phoneticPr fontId="5"/>
  </si>
  <si>
    <t>性質別経費に対する一般財源の充当状況</t>
  </si>
  <si>
    <t>経常</t>
  </si>
  <si>
    <t>投資的経費一般財源充当額</t>
  </si>
  <si>
    <t>一般財源</t>
  </si>
  <si>
    <t>維持補修</t>
    <phoneticPr fontId="5"/>
  </si>
  <si>
    <t>収支</t>
    <phoneticPr fontId="5"/>
  </si>
  <si>
    <t>経常一般財源</t>
  </si>
  <si>
    <t>自由財源</t>
  </si>
  <si>
    <t>　　総額</t>
  </si>
  <si>
    <t>比率</t>
    <phoneticPr fontId="5"/>
  </si>
  <si>
    <t>普通建</t>
  </si>
  <si>
    <t>災害復</t>
  </si>
  <si>
    <t>失業対</t>
  </si>
  <si>
    <t>平成元年度</t>
    <rPh sb="0" eb="4">
      <t>ヘイセイガンネン</t>
    </rPh>
    <phoneticPr fontId="5"/>
  </si>
  <si>
    <t>平成２年度</t>
    <rPh sb="0" eb="2">
      <t>ヘイセイ</t>
    </rPh>
    <rPh sb="3" eb="5">
      <t>ネンド</t>
    </rPh>
    <phoneticPr fontId="5"/>
  </si>
  <si>
    <t>平成３年度</t>
    <rPh sb="0" eb="2">
      <t>ヘイセイ</t>
    </rPh>
    <rPh sb="3" eb="5">
      <t>ネンド</t>
    </rPh>
    <phoneticPr fontId="5"/>
  </si>
  <si>
    <t>地方交付税の状況</t>
  </si>
  <si>
    <t>基準財政需要額</t>
  </si>
  <si>
    <t>基準財政収入額</t>
  </si>
  <si>
    <t>交付基準額</t>
  </si>
  <si>
    <t>交付税額</t>
  </si>
  <si>
    <t>財政力指数</t>
  </si>
  <si>
    <t>特別交付税</t>
  </si>
  <si>
    <t>財政力指数順位</t>
  </si>
  <si>
    <t>当　初</t>
  </si>
  <si>
    <t>再算定</t>
  </si>
  <si>
    <t>単年度</t>
  </si>
  <si>
    <t>３年平均</t>
  </si>
  <si>
    <t>県内町村</t>
  </si>
  <si>
    <t>郡内町村</t>
  </si>
  <si>
    <t>平成19年度</t>
  </si>
  <si>
    <t>平成23年度</t>
  </si>
  <si>
    <t>平成30年度</t>
    <phoneticPr fontId="5"/>
  </si>
  <si>
    <t>法人税割額の推移</t>
    <rPh sb="0" eb="3">
      <t>ホウジンゼイ</t>
    </rPh>
    <rPh sb="3" eb="4">
      <t>ワリ</t>
    </rPh>
    <rPh sb="4" eb="5">
      <t>ガク</t>
    </rPh>
    <rPh sb="6" eb="8">
      <t>スイイ</t>
    </rPh>
    <phoneticPr fontId="5"/>
  </si>
  <si>
    <t>推計調定額</t>
    <rPh sb="0" eb="2">
      <t>スイケイ</t>
    </rPh>
    <rPh sb="2" eb="3">
      <t>チョウ</t>
    </rPh>
    <rPh sb="3" eb="5">
      <t>テイガク</t>
    </rPh>
    <phoneticPr fontId="5"/>
  </si>
  <si>
    <t>推計基準税額</t>
    <rPh sb="0" eb="2">
      <t>スイケイ</t>
    </rPh>
    <rPh sb="2" eb="4">
      <t>キジュン</t>
    </rPh>
    <rPh sb="4" eb="6">
      <t>ゼイガク</t>
    </rPh>
    <phoneticPr fontId="5"/>
  </si>
  <si>
    <t>基準税額</t>
    <rPh sb="0" eb="2">
      <t>キジュン</t>
    </rPh>
    <rPh sb="2" eb="4">
      <t>ゼイガク</t>
    </rPh>
    <phoneticPr fontId="5"/>
  </si>
  <si>
    <t>n-1年度精算額</t>
    <rPh sb="3" eb="5">
      <t>ネンド</t>
    </rPh>
    <rPh sb="5" eb="8">
      <t>セイサンガク</t>
    </rPh>
    <phoneticPr fontId="5"/>
  </si>
  <si>
    <t>n-2年度精算額</t>
    <rPh sb="3" eb="5">
      <t>ネンド</t>
    </rPh>
    <rPh sb="5" eb="7">
      <t>セイサン</t>
    </rPh>
    <rPh sb="7" eb="8">
      <t>ガク</t>
    </rPh>
    <phoneticPr fontId="5"/>
  </si>
  <si>
    <t>n-3年度精算額</t>
    <rPh sb="3" eb="5">
      <t>ネンド</t>
    </rPh>
    <rPh sb="5" eb="7">
      <t>セイサン</t>
    </rPh>
    <rPh sb="7" eb="8">
      <t>ガク</t>
    </rPh>
    <phoneticPr fontId="5"/>
  </si>
  <si>
    <t>自治大臣修正分</t>
    <rPh sb="0" eb="2">
      <t>ジチ</t>
    </rPh>
    <rPh sb="2" eb="4">
      <t>ダイジン</t>
    </rPh>
    <rPh sb="4" eb="6">
      <t>シュウセイ</t>
    </rPh>
    <rPh sb="6" eb="7">
      <t>ブン</t>
    </rPh>
    <phoneticPr fontId="5"/>
  </si>
  <si>
    <t>精算額合計</t>
    <rPh sb="0" eb="2">
      <t>セイサン</t>
    </rPh>
    <rPh sb="2" eb="3">
      <t>ガク</t>
    </rPh>
    <rPh sb="3" eb="5">
      <t>ゴウケイ</t>
    </rPh>
    <phoneticPr fontId="5"/>
  </si>
  <si>
    <t>合計</t>
    <rPh sb="0" eb="2">
      <t>ゴウケイ</t>
    </rPh>
    <phoneticPr fontId="5"/>
  </si>
  <si>
    <t>備　　　　考</t>
    <rPh sb="0" eb="1">
      <t>ソナエ</t>
    </rPh>
    <rPh sb="5" eb="6">
      <t>コウ</t>
    </rPh>
    <phoneticPr fontId="5"/>
  </si>
  <si>
    <t>左の７５％</t>
    <rPh sb="0" eb="1">
      <t>ヒダリ</t>
    </rPh>
    <phoneticPr fontId="5"/>
  </si>
  <si>
    <t>実績</t>
    <rPh sb="0" eb="2">
      <t>ジッセキ</t>
    </rPh>
    <phoneticPr fontId="5"/>
  </si>
  <si>
    <t>特別交付税35,000精算</t>
    <rPh sb="0" eb="2">
      <t>トクベツ</t>
    </rPh>
    <rPh sb="2" eb="5">
      <t>コウフゼイ</t>
    </rPh>
    <rPh sb="11" eb="13">
      <t>セイサン</t>
    </rPh>
    <phoneticPr fontId="5"/>
  </si>
  <si>
    <t>令和４年度</t>
    <rPh sb="0" eb="2">
      <t>レイワ</t>
    </rPh>
    <phoneticPr fontId="5"/>
  </si>
  <si>
    <t>令和５年度</t>
    <rPh sb="0" eb="2">
      <t>レイワ</t>
    </rPh>
    <phoneticPr fontId="5"/>
  </si>
  <si>
    <t>基金の状況</t>
    <rPh sb="0" eb="2">
      <t>キキン</t>
    </rPh>
    <rPh sb="3" eb="5">
      <t>ジョウキョウ</t>
    </rPh>
    <phoneticPr fontId="5"/>
  </si>
  <si>
    <t>（千円）</t>
    <rPh sb="1" eb="3">
      <t>センエン</t>
    </rPh>
    <phoneticPr fontId="5"/>
  </si>
  <si>
    <t>積立基金</t>
    <rPh sb="0" eb="1">
      <t>ツ</t>
    </rPh>
    <rPh sb="1" eb="2">
      <t>タ</t>
    </rPh>
    <rPh sb="2" eb="4">
      <t>キキン</t>
    </rPh>
    <phoneticPr fontId="5"/>
  </si>
  <si>
    <t>定額運用基金</t>
    <rPh sb="0" eb="2">
      <t>テイガク</t>
    </rPh>
    <rPh sb="2" eb="4">
      <t>ウンヨウ</t>
    </rPh>
    <rPh sb="4" eb="6">
      <t>キキン</t>
    </rPh>
    <phoneticPr fontId="5"/>
  </si>
  <si>
    <t>特別会計</t>
    <rPh sb="0" eb="2">
      <t>トクベツ</t>
    </rPh>
    <rPh sb="2" eb="4">
      <t>カイケイ</t>
    </rPh>
    <phoneticPr fontId="5"/>
  </si>
  <si>
    <t>その他特定目的基金</t>
    <rPh sb="2" eb="3">
      <t>タ</t>
    </rPh>
    <rPh sb="3" eb="5">
      <t>トクテイ</t>
    </rPh>
    <rPh sb="5" eb="7">
      <t>モクテキ</t>
    </rPh>
    <rPh sb="7" eb="9">
      <t>キキン</t>
    </rPh>
    <phoneticPr fontId="5"/>
  </si>
  <si>
    <t>国民健康保険</t>
  </si>
  <si>
    <t>介護保険</t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</si>
  <si>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</si>
  <si>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減債基金</t>
    <phoneticPr fontId="5"/>
  </si>
  <si>
    <t>生涯学習</t>
    <phoneticPr fontId="5"/>
  </si>
  <si>
    <t>中学生</t>
    <phoneticPr fontId="5"/>
  </si>
  <si>
    <t>みのわ温泉</t>
    <phoneticPr fontId="5"/>
  </si>
  <si>
    <t>元気</t>
    <phoneticPr fontId="5"/>
  </si>
  <si>
    <t>公共投資</t>
    <phoneticPr fontId="5"/>
  </si>
  <si>
    <t>商工業振興</t>
    <rPh sb="0" eb="3">
      <t>ショウコウギョウ</t>
    </rPh>
    <rPh sb="3" eb="5">
      <t>シンコウ</t>
    </rPh>
    <phoneticPr fontId="5"/>
  </si>
  <si>
    <t>大下宇陀児</t>
    <rPh sb="0" eb="2">
      <t>オオシタ</t>
    </rPh>
    <rPh sb="2" eb="3">
      <t>サカイ</t>
    </rPh>
    <rPh sb="3" eb="4">
      <t>ダ</t>
    </rPh>
    <rPh sb="4" eb="5">
      <t>ジ</t>
    </rPh>
    <phoneticPr fontId="5"/>
  </si>
  <si>
    <t>土地開発</t>
  </si>
  <si>
    <t>国民年金</t>
    <rPh sb="0" eb="2">
      <t>コクミン</t>
    </rPh>
    <rPh sb="2" eb="4">
      <t>ネンキン</t>
    </rPh>
    <phoneticPr fontId="5"/>
  </si>
  <si>
    <t>財政調整基金</t>
  </si>
  <si>
    <t>給付準備</t>
  </si>
  <si>
    <t>福祉基金</t>
    <phoneticPr fontId="5"/>
  </si>
  <si>
    <t>まちづくり</t>
    <phoneticPr fontId="5"/>
  </si>
  <si>
    <t>米山教育</t>
    <phoneticPr fontId="5"/>
  </si>
  <si>
    <t>海外研修</t>
    <rPh sb="0" eb="2">
      <t>カイガイ</t>
    </rPh>
    <rPh sb="2" eb="4">
      <t>ケンシュウ</t>
    </rPh>
    <phoneticPr fontId="5"/>
  </si>
  <si>
    <t>ふるさと</t>
    <phoneticPr fontId="5"/>
  </si>
  <si>
    <t>関連施設</t>
    <phoneticPr fontId="5"/>
  </si>
  <si>
    <t>やまと教育</t>
    <rPh sb="3" eb="5">
      <t>キョウイク</t>
    </rPh>
    <phoneticPr fontId="5"/>
  </si>
  <si>
    <t>図書館</t>
    <phoneticPr fontId="5"/>
  </si>
  <si>
    <t>新型コロナ</t>
    <rPh sb="0" eb="2">
      <t>シンガタ</t>
    </rPh>
    <phoneticPr fontId="5"/>
  </si>
  <si>
    <t>はつらつ</t>
    <phoneticPr fontId="5"/>
  </si>
  <si>
    <t>医療施設</t>
    <phoneticPr fontId="5"/>
  </si>
  <si>
    <t>光をそそぐ</t>
    <phoneticPr fontId="5"/>
  </si>
  <si>
    <t>臨時交付金</t>
    <phoneticPr fontId="5"/>
  </si>
  <si>
    <t>基金貸付金</t>
  </si>
  <si>
    <t>教育基金</t>
  </si>
  <si>
    <t>基金</t>
  </si>
  <si>
    <t>印紙購買基金</t>
    <rPh sb="0" eb="2">
      <t>インシ</t>
    </rPh>
    <rPh sb="2" eb="4">
      <t>コウバイ</t>
    </rPh>
    <rPh sb="4" eb="6">
      <t>キキン</t>
    </rPh>
    <phoneticPr fontId="5"/>
  </si>
  <si>
    <t>基金</t>
    <phoneticPr fontId="5"/>
  </si>
  <si>
    <t>振興基金</t>
    <phoneticPr fontId="5"/>
  </si>
  <si>
    <t>浅川基金</t>
    <rPh sb="0" eb="2">
      <t>アサカワ</t>
    </rPh>
    <rPh sb="2" eb="4">
      <t>キキン</t>
    </rPh>
    <phoneticPr fontId="5"/>
  </si>
  <si>
    <t>応援基金</t>
    <phoneticPr fontId="5"/>
  </si>
  <si>
    <t>整備基金</t>
    <phoneticPr fontId="5"/>
  </si>
  <si>
    <t>振興基金</t>
    <rPh sb="0" eb="2">
      <t>シンコウ</t>
    </rPh>
    <phoneticPr fontId="5"/>
  </si>
  <si>
    <t>建設基金</t>
    <phoneticPr fontId="5"/>
  </si>
  <si>
    <t>利子補給基金</t>
    <rPh sb="0" eb="2">
      <t>リシ</t>
    </rPh>
    <rPh sb="2" eb="4">
      <t>ホキュウ</t>
    </rPh>
    <rPh sb="4" eb="6">
      <t>キキン</t>
    </rPh>
    <phoneticPr fontId="5"/>
  </si>
  <si>
    <t>交付金基金</t>
    <phoneticPr fontId="5"/>
  </si>
  <si>
    <t>長期債及び健全化判断比率に関する資料</t>
    <rPh sb="3" eb="4">
      <t>オヨ</t>
    </rPh>
    <phoneticPr fontId="5"/>
  </si>
  <si>
    <t>長期債</t>
  </si>
  <si>
    <t>債務負</t>
    <phoneticPr fontId="5"/>
  </si>
  <si>
    <t>健全化判断比率</t>
    <phoneticPr fontId="5"/>
  </si>
  <si>
    <t>公営</t>
    <phoneticPr fontId="5"/>
  </si>
  <si>
    <t>基準財政</t>
    <phoneticPr fontId="5"/>
  </si>
  <si>
    <t>Ｂ／Ａ</t>
  </si>
  <si>
    <t>Ｃ／Ａ</t>
  </si>
  <si>
    <t>起債額</t>
  </si>
  <si>
    <t>Ｄ／Ａ</t>
  </si>
  <si>
    <t>償還額</t>
  </si>
  <si>
    <t>Ｅ／Ａ</t>
  </si>
  <si>
    <t>公債費</t>
    <phoneticPr fontId="5"/>
  </si>
  <si>
    <t>担含公債</t>
    <rPh sb="2" eb="4">
      <t>コウサイ</t>
    </rPh>
    <phoneticPr fontId="5"/>
  </si>
  <si>
    <t>起債</t>
  </si>
  <si>
    <t>Ｅ／Ｃ</t>
  </si>
  <si>
    <t>臨財債</t>
    <rPh sb="0" eb="1">
      <t>ノゾム</t>
    </rPh>
    <rPh sb="1" eb="2">
      <t>ザイ</t>
    </rPh>
    <rPh sb="2" eb="3">
      <t>サイ</t>
    </rPh>
    <phoneticPr fontId="5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</si>
  <si>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5"/>
  </si>
  <si>
    <t>連結実質</t>
    <phoneticPr fontId="5"/>
  </si>
  <si>
    <t>将来負担比率</t>
    <phoneticPr fontId="5"/>
  </si>
  <si>
    <t>地方債</t>
    <phoneticPr fontId="5"/>
  </si>
  <si>
    <t>企業債等</t>
    <phoneticPr fontId="5"/>
  </si>
  <si>
    <t>充当可能</t>
    <phoneticPr fontId="5"/>
  </si>
  <si>
    <t>需要額</t>
    <phoneticPr fontId="5"/>
  </si>
  <si>
    <t>Ａ</t>
  </si>
  <si>
    <t>Ｂ</t>
  </si>
  <si>
    <t>　*100</t>
  </si>
  <si>
    <t>Ｄ</t>
  </si>
  <si>
    <t>利子含むＥ</t>
  </si>
  <si>
    <t>費比率</t>
    <phoneticPr fontId="5"/>
  </si>
  <si>
    <t>制限比率</t>
  </si>
  <si>
    <t>発行可能額</t>
    <rPh sb="0" eb="2">
      <t>ハッコウ</t>
    </rPh>
    <rPh sb="2" eb="4">
      <t>カノウ</t>
    </rPh>
    <rPh sb="4" eb="5">
      <t>ガク</t>
    </rPh>
    <phoneticPr fontId="5"/>
  </si>
  <si>
    <t>単年</t>
    <rPh sb="0" eb="1">
      <t>タン</t>
    </rPh>
    <rPh sb="1" eb="2">
      <t>ドシ</t>
    </rPh>
    <phoneticPr fontId="5"/>
  </si>
  <si>
    <t>3ヵ年</t>
    <rPh sb="2" eb="3">
      <t>ネン</t>
    </rPh>
    <phoneticPr fontId="5"/>
  </si>
  <si>
    <t>県内順位</t>
    <rPh sb="0" eb="2">
      <t>ケンナイ</t>
    </rPh>
    <rPh sb="2" eb="4">
      <t>ジュンイ</t>
    </rPh>
    <phoneticPr fontId="5"/>
  </si>
  <si>
    <t>赤字比率</t>
    <rPh sb="2" eb="4">
      <t>ヒリツ</t>
    </rPh>
    <phoneticPr fontId="5"/>
  </si>
  <si>
    <t>赤字比率</t>
    <phoneticPr fontId="5"/>
  </si>
  <si>
    <t>現在高</t>
    <phoneticPr fontId="5"/>
  </si>
  <si>
    <t>繰入見込額</t>
    <phoneticPr fontId="5"/>
  </si>
  <si>
    <t>算入見込額</t>
    <phoneticPr fontId="5"/>
  </si>
  <si>
    <t>平成15年度</t>
    <phoneticPr fontId="5"/>
  </si>
  <si>
    <t>平成25年度</t>
  </si>
  <si>
    <t>繰上償還及び公債費比率の状況</t>
  </si>
  <si>
    <t>Ａの内</t>
  </si>
  <si>
    <t>Ｂの内</t>
  </si>
  <si>
    <t>標準</t>
    <phoneticPr fontId="5"/>
  </si>
  <si>
    <t>災害復旧等に</t>
  </si>
  <si>
    <t>普通交付税及び</t>
    <rPh sb="5" eb="6">
      <t>オヨ</t>
    </rPh>
    <phoneticPr fontId="5"/>
  </si>
  <si>
    <t>公債費比率</t>
  </si>
  <si>
    <t>債務負担行為</t>
  </si>
  <si>
    <t>Ｈの内公債</t>
  </si>
  <si>
    <t>債務負担</t>
  </si>
  <si>
    <t>元利償還金</t>
  </si>
  <si>
    <t>一般財源等</t>
  </si>
  <si>
    <t>繰上償還額</t>
  </si>
  <si>
    <t>Ｂ－Ｃ</t>
  </si>
  <si>
    <t>税収入額</t>
    <phoneticPr fontId="5"/>
  </si>
  <si>
    <t>係る基準財政</t>
  </si>
  <si>
    <t>臨財債発行可能額</t>
    <rPh sb="0" eb="1">
      <t>ノゾム</t>
    </rPh>
    <rPh sb="1" eb="2">
      <t>ザイ</t>
    </rPh>
    <rPh sb="2" eb="3">
      <t>サイ</t>
    </rPh>
    <rPh sb="3" eb="5">
      <t>ハッコウ</t>
    </rPh>
    <rPh sb="5" eb="8">
      <t>カノウガク</t>
    </rPh>
    <phoneticPr fontId="5"/>
  </si>
  <si>
    <t xml:space="preserve"> Ｄ－Ｆ </t>
    <phoneticPr fontId="5"/>
  </si>
  <si>
    <t>に基ずく</t>
  </si>
  <si>
    <t>費に準ずる</t>
  </si>
  <si>
    <t>行為を含む</t>
  </si>
  <si>
    <t>繰上償還の明細</t>
  </si>
  <si>
    <t>　　総額Ａ</t>
  </si>
  <si>
    <t>充当額　Ｂ</t>
  </si>
  <si>
    <t>　　　Ｃ</t>
    <phoneticPr fontId="5"/>
  </si>
  <si>
    <t>　　　　Ｄ</t>
  </si>
  <si>
    <t>　　　　Ｅ</t>
  </si>
  <si>
    <t>需要額　Ｆ</t>
  </si>
  <si>
    <t>　　　　Ｇ</t>
  </si>
  <si>
    <t>Ｅ－Ｆ＋Ｇ</t>
  </si>
  <si>
    <t>支出額　　Ｈ</t>
  </si>
  <si>
    <t>もの　　Ｉ</t>
  </si>
  <si>
    <t>(1,339)</t>
    <phoneticPr fontId="5"/>
  </si>
  <si>
    <t>(4,543)</t>
    <phoneticPr fontId="5"/>
  </si>
  <si>
    <t>(4,347)</t>
    <phoneticPr fontId="5"/>
  </si>
  <si>
    <t>(4,687)</t>
    <phoneticPr fontId="5"/>
  </si>
  <si>
    <t>(4,887)</t>
    <phoneticPr fontId="5"/>
  </si>
  <si>
    <t>水田 108065 消防 700</t>
  </si>
  <si>
    <t>水田 121782 番場 7222</t>
  </si>
  <si>
    <t>番場 5422 北小 3096</t>
  </si>
  <si>
    <t>公営住宅 307 任意</t>
  </si>
  <si>
    <t>公営住宅 368 武道館 3320 就業改善ｾﾝﾀｰ 1230</t>
  </si>
  <si>
    <t>簡易水道 1932 その他</t>
  </si>
  <si>
    <t>任意</t>
  </si>
  <si>
    <t>任意</t>
    <rPh sb="0" eb="2">
      <t>ニンイ</t>
    </rPh>
    <phoneticPr fontId="5"/>
  </si>
  <si>
    <t>Ｈ13からＧ欄には臨時財政発行可能額を含む</t>
    <rPh sb="6" eb="7">
      <t>ラン</t>
    </rPh>
    <rPh sb="9" eb="11">
      <t>リンジ</t>
    </rPh>
    <rPh sb="11" eb="13">
      <t>ザイセイ</t>
    </rPh>
    <rPh sb="13" eb="15">
      <t>ハッコウ</t>
    </rPh>
    <rPh sb="15" eb="17">
      <t>カノウ</t>
    </rPh>
    <rPh sb="17" eb="18">
      <t>ガク</t>
    </rPh>
    <rPh sb="19" eb="20">
      <t>フク</t>
    </rPh>
    <phoneticPr fontId="5"/>
  </si>
  <si>
    <t>平成26年度</t>
    <phoneticPr fontId="5"/>
  </si>
  <si>
    <t>平成27年度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</si>
</sst>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¥&quot;#,##0;&quot;¥&quot;\-#,##0"/>
    <numFmt numFmtId="176" formatCode="#,##0;&quot;△&quot;#,##0"/>
    <numFmt numFmtId="177" formatCode="#,##0.0;&quot;△&quot;#,##0.0"/>
    <numFmt numFmtId="178" formatCode="0.0;&quot;△&quot;0.0"/>
    <numFmt numFmtId="179" formatCode="0.0"/>
    <numFmt numFmtId="180" formatCode="0.0_ "/>
    <numFmt numFmtId="181" formatCode="0.000;&quot;△&quot;0.000"/>
    <numFmt numFmtId="182" formatCode="0.000"/>
    <numFmt numFmtId="183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9.6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u/>
      <sz val="9.6"/>
      <name val="ＭＳ 明朝"/>
      <family val="1"/>
      <charset val="128"/>
    </font>
    <font>
      <sz val="9.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6" fillId="0" borderId="0" applyFont="0" applyFill="0" applyBorder="0" applyAlignment="0" applyProtection="0"/>
  </cellStyleXfs>
  <cellXfs count="426">
    <xf numFmtId="0" fontId="0" fillId="0" borderId="0" xfId="0">
      <alignment vertical="center"/>
    </xf>
    <xf numFmtId="0" fontId="2" fillId="0" borderId="0" xfId="1" applyFont="1"/>
    <xf numFmtId="0" fontId="1" fillId="0" borderId="0" xfId="1"/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vertical="center" shrinkToFit="1"/>
    </xf>
    <xf numFmtId="0" fontId="4" fillId="0" borderId="3" xfId="1" applyFont="1" applyBorder="1" applyAlignment="1">
      <alignment vertical="center" shrinkToFit="1"/>
    </xf>
    <xf numFmtId="0" fontId="4" fillId="0" borderId="1" xfId="1" applyFont="1" applyBorder="1" applyAlignment="1">
      <alignment vertical="center" shrinkToFit="1"/>
    </xf>
    <xf numFmtId="0" fontId="4" fillId="0" borderId="1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0" fontId="1" fillId="0" borderId="0" xfId="1" applyAlignment="1">
      <alignment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>
      <alignment vertical="center" shrinkToFit="1"/>
    </xf>
    <xf numFmtId="0" fontId="4" fillId="0" borderId="6" xfId="1" applyFont="1" applyBorder="1" applyAlignment="1">
      <alignment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4" xfId="1" applyFont="1" applyBorder="1" applyAlignment="1">
      <alignment vertical="center" shrinkToFit="1"/>
    </xf>
    <xf numFmtId="0" fontId="4" fillId="0" borderId="4" xfId="1" applyFont="1" applyBorder="1" applyAlignment="1">
      <alignment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7" xfId="1" applyFont="1" applyBorder="1" applyAlignment="1">
      <alignment vertical="center" shrinkToFit="1"/>
    </xf>
    <xf numFmtId="0" fontId="4" fillId="0" borderId="7" xfId="1" applyFont="1" applyBorder="1" applyAlignment="1">
      <alignment vertical="center" shrinkToFit="1"/>
    </xf>
    <xf numFmtId="0" fontId="4" fillId="0" borderId="8" xfId="1" applyFont="1" applyBorder="1" applyAlignment="1">
      <alignment horizontal="center"/>
    </xf>
    <xf numFmtId="176" fontId="4" fillId="0" borderId="9" xfId="1" applyNumberFormat="1" applyFont="1" applyBorder="1" applyAlignment="1">
      <alignment shrinkToFit="1"/>
    </xf>
    <xf numFmtId="176" fontId="4" fillId="0" borderId="10" xfId="1" applyNumberFormat="1" applyFont="1" applyBorder="1" applyAlignment="1">
      <alignment shrinkToFit="1"/>
    </xf>
    <xf numFmtId="176" fontId="4" fillId="0" borderId="9" xfId="1" applyNumberFormat="1" applyFont="1" applyBorder="1" applyAlignment="1">
      <alignment horizontal="right" shrinkToFit="1"/>
    </xf>
    <xf numFmtId="5" fontId="4" fillId="0" borderId="9" xfId="1" applyNumberFormat="1" applyFont="1" applyBorder="1" applyAlignment="1">
      <alignment horizontal="right" shrinkToFit="1"/>
    </xf>
    <xf numFmtId="177" fontId="4" fillId="0" borderId="9" xfId="1" applyNumberFormat="1" applyFont="1" applyBorder="1" applyAlignment="1">
      <alignment shrinkToFit="1"/>
    </xf>
    <xf numFmtId="178" fontId="4" fillId="0" borderId="9" xfId="1" applyNumberFormat="1" applyFont="1" applyBorder="1" applyAlignment="1">
      <alignment shrinkToFit="1"/>
    </xf>
    <xf numFmtId="178" fontId="4" fillId="0" borderId="11" xfId="1" applyNumberFormat="1" applyFont="1" applyBorder="1" applyAlignment="1">
      <alignment horizontal="right" shrinkToFit="1"/>
    </xf>
    <xf numFmtId="176" fontId="4" fillId="0" borderId="12" xfId="1" applyNumberFormat="1" applyFont="1" applyBorder="1" applyAlignment="1">
      <alignment shrinkToFit="1"/>
    </xf>
    <xf numFmtId="0" fontId="4" fillId="0" borderId="0" xfId="1" applyFont="1" applyAlignment="1">
      <alignment shrinkToFit="1"/>
    </xf>
    <xf numFmtId="176" fontId="4" fillId="0" borderId="0" xfId="1" applyNumberFormat="1" applyFont="1"/>
    <xf numFmtId="0" fontId="4" fillId="0" borderId="0" xfId="1" applyFont="1"/>
    <xf numFmtId="0" fontId="4" fillId="0" borderId="13" xfId="1" applyFont="1" applyBorder="1" applyAlignment="1">
      <alignment horizontal="center"/>
    </xf>
    <xf numFmtId="176" fontId="4" fillId="0" borderId="11" xfId="1" applyNumberFormat="1" applyFont="1" applyBorder="1" applyAlignment="1">
      <alignment shrinkToFit="1"/>
    </xf>
    <xf numFmtId="176" fontId="4" fillId="0" borderId="14" xfId="1" applyNumberFormat="1" applyFont="1" applyBorder="1" applyAlignment="1">
      <alignment shrinkToFit="1"/>
    </xf>
    <xf numFmtId="176" fontId="4" fillId="0" borderId="11" xfId="1" applyNumberFormat="1" applyFont="1" applyBorder="1" applyAlignment="1">
      <alignment horizontal="right" shrinkToFit="1"/>
    </xf>
    <xf numFmtId="5" fontId="4" fillId="0" borderId="11" xfId="1" applyNumberFormat="1" applyFont="1" applyBorder="1" applyAlignment="1">
      <alignment horizontal="right" shrinkToFit="1"/>
    </xf>
    <xf numFmtId="177" fontId="4" fillId="0" borderId="11" xfId="1" applyNumberFormat="1" applyFont="1" applyBorder="1" applyAlignment="1">
      <alignment shrinkToFit="1"/>
    </xf>
    <xf numFmtId="178" fontId="4" fillId="0" borderId="11" xfId="1" applyNumberFormat="1" applyFont="1" applyBorder="1" applyAlignment="1">
      <alignment shrinkToFit="1"/>
    </xf>
    <xf numFmtId="176" fontId="4" fillId="0" borderId="15" xfId="1" applyNumberFormat="1" applyFont="1" applyBorder="1" applyAlignment="1">
      <alignment shrinkToFit="1"/>
    </xf>
    <xf numFmtId="3" fontId="4" fillId="0" borderId="11" xfId="1" applyNumberFormat="1" applyFont="1" applyBorder="1" applyAlignment="1">
      <alignment shrinkToFit="1"/>
    </xf>
    <xf numFmtId="176" fontId="1" fillId="0" borderId="0" xfId="1" applyNumberFormat="1"/>
    <xf numFmtId="0" fontId="4" fillId="0" borderId="11" xfId="1" applyFont="1" applyBorder="1" applyAlignment="1">
      <alignment shrinkToFit="1"/>
    </xf>
    <xf numFmtId="3" fontId="4" fillId="0" borderId="14" xfId="1" applyNumberFormat="1" applyFont="1" applyBorder="1" applyAlignment="1">
      <alignment shrinkToFit="1"/>
    </xf>
    <xf numFmtId="3" fontId="4" fillId="0" borderId="15" xfId="1" applyNumberFormat="1" applyFont="1" applyBorder="1" applyAlignment="1">
      <alignment shrinkToFit="1"/>
    </xf>
    <xf numFmtId="38" fontId="4" fillId="0" borderId="11" xfId="2" applyFont="1" applyBorder="1" applyAlignment="1">
      <alignment shrinkToFit="1"/>
    </xf>
    <xf numFmtId="38" fontId="4" fillId="0" borderId="14" xfId="2" applyFont="1" applyBorder="1" applyAlignment="1">
      <alignment shrinkToFit="1"/>
    </xf>
    <xf numFmtId="179" fontId="4" fillId="0" borderId="11" xfId="1" applyNumberFormat="1" applyFont="1" applyBorder="1" applyAlignment="1">
      <alignment shrinkToFit="1"/>
    </xf>
    <xf numFmtId="38" fontId="4" fillId="0" borderId="15" xfId="2" applyFont="1" applyBorder="1" applyAlignment="1">
      <alignment shrinkToFit="1"/>
    </xf>
    <xf numFmtId="38" fontId="4" fillId="0" borderId="11" xfId="2" applyFont="1" applyBorder="1" applyAlignment="1">
      <alignment horizontal="right" shrinkToFit="1"/>
    </xf>
    <xf numFmtId="38" fontId="4" fillId="0" borderId="11" xfId="2" applyFont="1" applyFill="1" applyBorder="1" applyAlignment="1">
      <alignment horizontal="right" shrinkToFit="1"/>
    </xf>
    <xf numFmtId="0" fontId="7" fillId="0" borderId="13" xfId="1" applyFont="1" applyBorder="1" applyAlignment="1">
      <alignment horizontal="center"/>
    </xf>
    <xf numFmtId="38" fontId="8" fillId="0" borderId="14" xfId="2" applyFont="1" applyBorder="1" applyAlignment="1">
      <alignment shrinkToFit="1"/>
    </xf>
    <xf numFmtId="0" fontId="8" fillId="0" borderId="0" xfId="1" applyFont="1" applyAlignment="1">
      <alignment shrinkToFit="1"/>
    </xf>
    <xf numFmtId="176" fontId="8" fillId="0" borderId="0" xfId="1" applyNumberFormat="1" applyFont="1"/>
    <xf numFmtId="0" fontId="8" fillId="0" borderId="0" xfId="1" applyFont="1"/>
    <xf numFmtId="0" fontId="4" fillId="0" borderId="16" xfId="1" applyFont="1" applyBorder="1" applyAlignment="1">
      <alignment horizontal="center"/>
    </xf>
    <xf numFmtId="38" fontId="4" fillId="0" borderId="17" xfId="2" applyFont="1" applyBorder="1" applyAlignment="1">
      <alignment shrinkToFit="1"/>
    </xf>
    <xf numFmtId="38" fontId="4" fillId="0" borderId="18" xfId="2" applyFont="1" applyBorder="1" applyAlignment="1">
      <alignment shrinkToFit="1"/>
    </xf>
    <xf numFmtId="176" fontId="4" fillId="0" borderId="18" xfId="1" applyNumberFormat="1" applyFont="1" applyBorder="1" applyAlignment="1">
      <alignment shrinkToFit="1"/>
    </xf>
    <xf numFmtId="38" fontId="4" fillId="0" borderId="18" xfId="2" applyFont="1" applyBorder="1" applyAlignment="1">
      <alignment horizontal="right" shrinkToFit="1"/>
    </xf>
    <xf numFmtId="179" fontId="4" fillId="0" borderId="18" xfId="1" applyNumberFormat="1" applyFont="1" applyBorder="1" applyAlignment="1">
      <alignment shrinkToFit="1"/>
    </xf>
    <xf numFmtId="178" fontId="4" fillId="0" borderId="18" xfId="1" applyNumberFormat="1" applyFont="1" applyBorder="1" applyAlignment="1">
      <alignment shrinkToFit="1"/>
    </xf>
    <xf numFmtId="38" fontId="4" fillId="0" borderId="19" xfId="2" applyFont="1" applyBorder="1" applyAlignment="1">
      <alignment shrinkToFit="1"/>
    </xf>
    <xf numFmtId="0" fontId="9" fillId="0" borderId="0" xfId="1" applyFont="1"/>
    <xf numFmtId="0" fontId="1" fillId="0" borderId="1" xfId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wrapText="1" shrinkToFit="1"/>
    </xf>
    <xf numFmtId="0" fontId="1" fillId="0" borderId="4" xfId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wrapText="1" shrinkToFit="1"/>
    </xf>
    <xf numFmtId="0" fontId="1" fillId="0" borderId="7" xfId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wrapText="1" shrinkToFit="1"/>
    </xf>
    <xf numFmtId="0" fontId="1" fillId="0" borderId="8" xfId="1" applyBorder="1" applyAlignment="1">
      <alignment horizontal="center"/>
    </xf>
    <xf numFmtId="176" fontId="1" fillId="0" borderId="9" xfId="1" applyNumberFormat="1" applyBorder="1" applyAlignment="1">
      <alignment shrinkToFit="1"/>
    </xf>
    <xf numFmtId="176" fontId="1" fillId="0" borderId="9" xfId="1" applyNumberFormat="1" applyBorder="1" applyAlignment="1">
      <alignment horizontal="right" shrinkToFit="1"/>
    </xf>
    <xf numFmtId="176" fontId="1" fillId="0" borderId="12" xfId="1" applyNumberFormat="1" applyBorder="1" applyAlignment="1">
      <alignment shrinkToFit="1"/>
    </xf>
    <xf numFmtId="176" fontId="1" fillId="0" borderId="0" xfId="1" applyNumberFormat="1" applyAlignment="1">
      <alignment shrinkToFit="1"/>
    </xf>
    <xf numFmtId="0" fontId="1" fillId="0" borderId="13" xfId="1" applyBorder="1" applyAlignment="1">
      <alignment horizontal="center"/>
    </xf>
    <xf numFmtId="176" fontId="1" fillId="0" borderId="11" xfId="1" applyNumberFormat="1" applyBorder="1" applyAlignment="1">
      <alignment shrinkToFit="1"/>
    </xf>
    <xf numFmtId="176" fontId="1" fillId="0" borderId="11" xfId="1" applyNumberFormat="1" applyBorder="1" applyAlignment="1">
      <alignment horizontal="right" shrinkToFit="1"/>
    </xf>
    <xf numFmtId="176" fontId="1" fillId="0" borderId="15" xfId="1" applyNumberFormat="1" applyBorder="1" applyAlignment="1">
      <alignment shrinkToFit="1"/>
    </xf>
    <xf numFmtId="180" fontId="1" fillId="0" borderId="0" xfId="1" applyNumberFormat="1"/>
    <xf numFmtId="38" fontId="0" fillId="0" borderId="11" xfId="2" applyFont="1" applyBorder="1" applyAlignment="1">
      <alignment horizontal="center" shrinkToFit="1"/>
    </xf>
    <xf numFmtId="38" fontId="1" fillId="0" borderId="11" xfId="2" applyFont="1" applyBorder="1" applyAlignment="1">
      <alignment shrinkToFit="1"/>
    </xf>
    <xf numFmtId="3" fontId="1" fillId="0" borderId="11" xfId="1" applyNumberFormat="1" applyBorder="1" applyAlignment="1">
      <alignment shrinkToFit="1"/>
    </xf>
    <xf numFmtId="38" fontId="0" fillId="0" borderId="11" xfId="2" applyFont="1" applyBorder="1" applyAlignment="1">
      <alignment shrinkToFit="1"/>
    </xf>
    <xf numFmtId="176" fontId="1" fillId="0" borderId="11" xfId="1" applyNumberFormat="1" applyFill="1" applyBorder="1" applyAlignment="1">
      <alignment shrinkToFit="1"/>
    </xf>
    <xf numFmtId="176" fontId="1" fillId="0" borderId="15" xfId="1" applyNumberFormat="1" applyFill="1" applyBorder="1" applyAlignment="1">
      <alignment shrinkToFit="1"/>
    </xf>
    <xf numFmtId="3" fontId="1" fillId="0" borderId="11" xfId="1" applyNumberFormat="1" applyFill="1" applyBorder="1" applyAlignment="1">
      <alignment shrinkToFit="1"/>
    </xf>
    <xf numFmtId="0" fontId="1" fillId="0" borderId="0" xfId="1" applyAlignment="1">
      <alignment vertical="center"/>
    </xf>
    <xf numFmtId="0" fontId="1" fillId="0" borderId="13" xfId="1" applyFont="1" applyBorder="1" applyAlignment="1">
      <alignment horizontal="center" vertical="center"/>
    </xf>
    <xf numFmtId="3" fontId="1" fillId="0" borderId="11" xfId="1" applyNumberFormat="1" applyFont="1" applyBorder="1" applyAlignment="1">
      <alignment vertical="center" shrinkToFit="1"/>
    </xf>
    <xf numFmtId="38" fontId="0" fillId="0" borderId="11" xfId="2" applyFont="1" applyBorder="1" applyAlignment="1">
      <alignment vertical="center" shrinkToFit="1"/>
    </xf>
    <xf numFmtId="176" fontId="1" fillId="0" borderId="11" xfId="1" applyNumberFormat="1" applyFont="1" applyFill="1" applyBorder="1" applyAlignment="1">
      <alignment vertical="center" shrinkToFit="1"/>
    </xf>
    <xf numFmtId="176" fontId="1" fillId="0" borderId="15" xfId="1" applyNumberFormat="1" applyFont="1" applyFill="1" applyBorder="1" applyAlignment="1">
      <alignment vertical="center" shrinkToFit="1"/>
    </xf>
    <xf numFmtId="176" fontId="1" fillId="0" borderId="0" xfId="1" applyNumberFormat="1" applyAlignment="1">
      <alignment vertical="center" shrinkToFit="1"/>
    </xf>
    <xf numFmtId="0" fontId="1" fillId="0" borderId="0" xfId="1" applyAlignment="1">
      <alignment vertical="center" shrinkToFit="1"/>
    </xf>
    <xf numFmtId="180" fontId="1" fillId="0" borderId="0" xfId="1" applyNumberFormat="1" applyAlignment="1">
      <alignment vertical="center"/>
    </xf>
    <xf numFmtId="0" fontId="1" fillId="0" borderId="13" xfId="1" applyBorder="1" applyAlignment="1">
      <alignment horizontal="center" vertical="center"/>
    </xf>
    <xf numFmtId="3" fontId="1" fillId="0" borderId="11" xfId="1" applyNumberFormat="1" applyBorder="1" applyAlignment="1">
      <alignment vertical="center" shrinkToFit="1"/>
    </xf>
    <xf numFmtId="176" fontId="1" fillId="0" borderId="11" xfId="1" applyNumberFormat="1" applyFill="1" applyBorder="1" applyAlignment="1">
      <alignment vertical="center" shrinkToFit="1"/>
    </xf>
    <xf numFmtId="176" fontId="1" fillId="0" borderId="15" xfId="1" applyNumberFormat="1" applyFill="1" applyBorder="1" applyAlignment="1">
      <alignment vertical="center" shrinkToFit="1"/>
    </xf>
    <xf numFmtId="0" fontId="1" fillId="0" borderId="20" xfId="1" applyBorder="1" applyAlignment="1">
      <alignment horizontal="center" vertical="center"/>
    </xf>
    <xf numFmtId="3" fontId="1" fillId="0" borderId="21" xfId="1" applyNumberFormat="1" applyBorder="1" applyAlignment="1">
      <alignment vertical="center" shrinkToFit="1"/>
    </xf>
    <xf numFmtId="38" fontId="0" fillId="0" borderId="21" xfId="2" applyFont="1" applyBorder="1" applyAlignment="1">
      <alignment vertical="center" shrinkToFit="1"/>
    </xf>
    <xf numFmtId="176" fontId="1" fillId="0" borderId="21" xfId="1" applyNumberFormat="1" applyFill="1" applyBorder="1" applyAlignment="1">
      <alignment vertical="center" shrinkToFit="1"/>
    </xf>
    <xf numFmtId="176" fontId="1" fillId="0" borderId="22" xfId="1" applyNumberFormat="1" applyFill="1" applyBorder="1" applyAlignment="1">
      <alignment vertical="center" shrinkToFit="1"/>
    </xf>
    <xf numFmtId="0" fontId="1" fillId="0" borderId="16" xfId="1" applyBorder="1" applyAlignment="1">
      <alignment horizontal="center"/>
    </xf>
    <xf numFmtId="3" fontId="1" fillId="0" borderId="18" xfId="1" applyNumberFormat="1" applyBorder="1" applyAlignment="1">
      <alignment shrinkToFit="1"/>
    </xf>
    <xf numFmtId="38" fontId="0" fillId="0" borderId="18" xfId="2" applyFont="1" applyBorder="1" applyAlignment="1">
      <alignment shrinkToFit="1"/>
    </xf>
    <xf numFmtId="176" fontId="1" fillId="0" borderId="18" xfId="1" applyNumberFormat="1" applyFill="1" applyBorder="1" applyAlignment="1">
      <alignment shrinkToFit="1"/>
    </xf>
    <xf numFmtId="176" fontId="1" fillId="0" borderId="19" xfId="1" applyNumberFormat="1" applyFill="1" applyBorder="1" applyAlignment="1">
      <alignment shrinkToFit="1"/>
    </xf>
    <xf numFmtId="0" fontId="1" fillId="0" borderId="0" xfId="1" applyBorder="1"/>
    <xf numFmtId="0" fontId="1" fillId="0" borderId="2" xfId="1" applyBorder="1" applyAlignment="1">
      <alignment shrinkToFit="1"/>
    </xf>
    <xf numFmtId="0" fontId="1" fillId="0" borderId="23" xfId="1" applyBorder="1" applyAlignment="1">
      <alignment shrinkToFit="1"/>
    </xf>
    <xf numFmtId="0" fontId="1" fillId="0" borderId="3" xfId="1" applyBorder="1" applyAlignment="1">
      <alignment shrinkToFit="1"/>
    </xf>
    <xf numFmtId="0" fontId="1" fillId="0" borderId="24" xfId="1" applyBorder="1" applyAlignment="1">
      <alignment shrinkToFit="1"/>
    </xf>
    <xf numFmtId="0" fontId="1" fillId="0" borderId="25" xfId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26" xfId="1" applyBorder="1" applyAlignment="1">
      <alignment horizontal="center" shrinkToFit="1"/>
    </xf>
    <xf numFmtId="176" fontId="1" fillId="0" borderId="27" xfId="1" applyNumberFormat="1" applyBorder="1" applyAlignment="1">
      <alignment shrinkToFit="1"/>
    </xf>
    <xf numFmtId="178" fontId="1" fillId="0" borderId="9" xfId="1" applyNumberFormat="1" applyBorder="1" applyAlignment="1">
      <alignment shrinkToFit="1"/>
    </xf>
    <xf numFmtId="178" fontId="1" fillId="0" borderId="12" xfId="1" applyNumberFormat="1" applyBorder="1" applyAlignment="1">
      <alignment shrinkToFit="1"/>
    </xf>
    <xf numFmtId="176" fontId="1" fillId="0" borderId="28" xfId="1" applyNumberFormat="1" applyBorder="1" applyAlignment="1">
      <alignment shrinkToFit="1"/>
    </xf>
    <xf numFmtId="178" fontId="1" fillId="0" borderId="11" xfId="1" applyNumberFormat="1" applyBorder="1" applyAlignment="1">
      <alignment shrinkToFit="1"/>
    </xf>
    <xf numFmtId="178" fontId="1" fillId="0" borderId="15" xfId="1" applyNumberFormat="1" applyBorder="1" applyAlignment="1">
      <alignment shrinkToFit="1"/>
    </xf>
    <xf numFmtId="0" fontId="1" fillId="0" borderId="11" xfId="1" applyBorder="1" applyAlignment="1">
      <alignment shrinkToFit="1"/>
    </xf>
    <xf numFmtId="38" fontId="0" fillId="0" borderId="11" xfId="2" applyFont="1" applyFill="1" applyBorder="1" applyAlignment="1">
      <alignment shrinkToFit="1"/>
    </xf>
    <xf numFmtId="0" fontId="1" fillId="0" borderId="20" xfId="1" applyBorder="1" applyAlignment="1">
      <alignment horizontal="center"/>
    </xf>
    <xf numFmtId="176" fontId="1" fillId="0" borderId="29" xfId="1" applyNumberFormat="1" applyBorder="1" applyAlignment="1">
      <alignment shrinkToFit="1"/>
    </xf>
    <xf numFmtId="176" fontId="1" fillId="0" borderId="29" xfId="1" applyNumberFormat="1" applyFill="1" applyBorder="1" applyAlignment="1">
      <alignment shrinkToFit="1"/>
    </xf>
    <xf numFmtId="38" fontId="0" fillId="0" borderId="29" xfId="2" applyFont="1" applyBorder="1" applyAlignment="1">
      <alignment shrinkToFit="1"/>
    </xf>
    <xf numFmtId="178" fontId="1" fillId="0" borderId="29" xfId="1" applyNumberFormat="1" applyBorder="1" applyAlignment="1">
      <alignment shrinkToFit="1"/>
    </xf>
    <xf numFmtId="178" fontId="1" fillId="0" borderId="30" xfId="1" applyNumberFormat="1" applyBorder="1" applyAlignment="1">
      <alignment shrinkToFit="1"/>
    </xf>
    <xf numFmtId="176" fontId="1" fillId="0" borderId="21" xfId="1" applyNumberFormat="1" applyBorder="1" applyAlignment="1">
      <alignment shrinkToFit="1"/>
    </xf>
    <xf numFmtId="176" fontId="1" fillId="0" borderId="21" xfId="1" applyNumberFormat="1" applyBorder="1" applyAlignment="1">
      <alignment horizontal="right" shrinkToFit="1"/>
    </xf>
    <xf numFmtId="38" fontId="0" fillId="0" borderId="21" xfId="2" applyFont="1" applyBorder="1" applyAlignment="1">
      <alignment shrinkToFit="1"/>
    </xf>
    <xf numFmtId="176" fontId="1" fillId="0" borderId="31" xfId="1" applyNumberFormat="1" applyBorder="1" applyAlignment="1">
      <alignment shrinkToFit="1"/>
    </xf>
    <xf numFmtId="178" fontId="1" fillId="0" borderId="21" xfId="1" applyNumberFormat="1" applyBorder="1" applyAlignment="1">
      <alignment shrinkToFit="1"/>
    </xf>
    <xf numFmtId="178" fontId="1" fillId="0" borderId="22" xfId="1" applyNumberFormat="1" applyBorder="1" applyAlignment="1">
      <alignment shrinkToFit="1"/>
    </xf>
    <xf numFmtId="176" fontId="1" fillId="0" borderId="18" xfId="1" applyNumberFormat="1" applyBorder="1" applyAlignment="1">
      <alignment shrinkToFit="1"/>
    </xf>
    <xf numFmtId="176" fontId="1" fillId="0" borderId="18" xfId="1" applyNumberFormat="1" applyBorder="1" applyAlignment="1">
      <alignment horizontal="right" shrinkToFit="1"/>
    </xf>
    <xf numFmtId="176" fontId="1" fillId="0" borderId="32" xfId="1" applyNumberFormat="1" applyBorder="1" applyAlignment="1">
      <alignment shrinkToFit="1"/>
    </xf>
    <xf numFmtId="178" fontId="1" fillId="0" borderId="18" xfId="1" applyNumberFormat="1" applyBorder="1" applyAlignment="1">
      <alignment shrinkToFit="1"/>
    </xf>
    <xf numFmtId="178" fontId="1" fillId="0" borderId="19" xfId="1" applyNumberFormat="1" applyBorder="1" applyAlignment="1">
      <alignment shrinkToFit="1"/>
    </xf>
    <xf numFmtId="176" fontId="1" fillId="0" borderId="0" xfId="1" applyNumberFormat="1" applyBorder="1"/>
    <xf numFmtId="176" fontId="1" fillId="0" borderId="0" xfId="1" applyNumberFormat="1" applyBorder="1" applyAlignment="1">
      <alignment horizontal="right"/>
    </xf>
    <xf numFmtId="38" fontId="0" fillId="0" borderId="0" xfId="2" applyFont="1" applyBorder="1"/>
    <xf numFmtId="178" fontId="1" fillId="0" borderId="0" xfId="1" applyNumberFormat="1" applyBorder="1"/>
    <xf numFmtId="0" fontId="4" fillId="0" borderId="1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 shrinkToFit="1"/>
    </xf>
    <xf numFmtId="0" fontId="4" fillId="0" borderId="4" xfId="1" applyFont="1" applyBorder="1" applyAlignment="1">
      <alignment horizontal="center" vertical="center" wrapText="1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 shrinkToFit="1"/>
    </xf>
    <xf numFmtId="0" fontId="4" fillId="0" borderId="7" xfId="1" applyFont="1" applyBorder="1" applyAlignment="1">
      <alignment horizontal="center" vertical="center" wrapText="1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wrapText="1" shrinkToFit="1"/>
    </xf>
    <xf numFmtId="176" fontId="4" fillId="0" borderId="0" xfId="1" applyNumberFormat="1" applyFont="1" applyAlignment="1">
      <alignment shrinkToFit="1"/>
    </xf>
    <xf numFmtId="38" fontId="4" fillId="0" borderId="13" xfId="2" applyFont="1" applyBorder="1" applyAlignment="1">
      <alignment horizontal="center"/>
    </xf>
    <xf numFmtId="38" fontId="4" fillId="0" borderId="0" xfId="2" applyFont="1" applyAlignment="1">
      <alignment shrinkToFit="1"/>
    </xf>
    <xf numFmtId="38" fontId="4" fillId="0" borderId="0" xfId="2" applyFont="1"/>
    <xf numFmtId="38" fontId="4" fillId="0" borderId="11" xfId="2" applyFont="1" applyFill="1" applyBorder="1" applyAlignment="1">
      <alignment shrinkToFit="1"/>
    </xf>
    <xf numFmtId="38" fontId="4" fillId="0" borderId="13" xfId="2" applyFont="1" applyBorder="1" applyAlignment="1">
      <alignment horizontal="center" vertical="center"/>
    </xf>
    <xf numFmtId="38" fontId="4" fillId="0" borderId="11" xfId="2" applyFont="1" applyBorder="1" applyAlignment="1">
      <alignment vertical="center" shrinkToFit="1"/>
    </xf>
    <xf numFmtId="176" fontId="4" fillId="0" borderId="11" xfId="1" applyNumberFormat="1" applyFont="1" applyBorder="1" applyAlignment="1">
      <alignment horizontal="right" vertical="center" shrinkToFit="1"/>
    </xf>
    <xf numFmtId="38" fontId="4" fillId="0" borderId="15" xfId="2" applyFont="1" applyBorder="1" applyAlignment="1">
      <alignment vertical="center" shrinkToFit="1"/>
    </xf>
    <xf numFmtId="38" fontId="4" fillId="0" borderId="0" xfId="2" applyFont="1" applyAlignment="1">
      <alignment vertical="center" shrinkToFit="1"/>
    </xf>
    <xf numFmtId="38" fontId="4" fillId="0" borderId="0" xfId="2" applyFont="1" applyAlignment="1">
      <alignment vertical="center"/>
    </xf>
    <xf numFmtId="38" fontId="4" fillId="0" borderId="20" xfId="2" applyFont="1" applyBorder="1" applyAlignment="1">
      <alignment horizontal="center" vertical="center"/>
    </xf>
    <xf numFmtId="38" fontId="4" fillId="0" borderId="21" xfId="2" applyFont="1" applyBorder="1" applyAlignment="1">
      <alignment vertical="center" shrinkToFit="1"/>
    </xf>
    <xf numFmtId="176" fontId="4" fillId="0" borderId="21" xfId="1" applyNumberFormat="1" applyFont="1" applyBorder="1" applyAlignment="1">
      <alignment horizontal="right" vertical="center" shrinkToFit="1"/>
    </xf>
    <xf numFmtId="38" fontId="4" fillId="0" borderId="22" xfId="2" applyFont="1" applyBorder="1" applyAlignment="1">
      <alignment vertical="center" shrinkToFit="1"/>
    </xf>
    <xf numFmtId="38" fontId="4" fillId="0" borderId="16" xfId="2" applyFont="1" applyBorder="1" applyAlignment="1">
      <alignment horizontal="center"/>
    </xf>
    <xf numFmtId="176" fontId="4" fillId="0" borderId="18" xfId="1" applyNumberFormat="1" applyFont="1" applyBorder="1" applyAlignment="1">
      <alignment horizontal="right" vertical="center" shrinkToFit="1"/>
    </xf>
    <xf numFmtId="0" fontId="1" fillId="0" borderId="1" xfId="1" applyBorder="1" applyAlignment="1">
      <alignment shrinkToFit="1"/>
    </xf>
    <xf numFmtId="0" fontId="1" fillId="0" borderId="4" xfId="1" applyBorder="1" applyAlignment="1">
      <alignment horizontal="center" shrinkToFit="1"/>
    </xf>
    <xf numFmtId="0" fontId="1" fillId="0" borderId="4" xfId="1" applyBorder="1" applyAlignment="1">
      <alignment shrinkToFit="1"/>
    </xf>
    <xf numFmtId="0" fontId="1" fillId="0" borderId="7" xfId="1" applyBorder="1" applyAlignment="1">
      <alignment shrinkToFit="1"/>
    </xf>
    <xf numFmtId="176" fontId="1" fillId="0" borderId="33" xfId="1" applyNumberFormat="1" applyBorder="1" applyAlignment="1">
      <alignment horizontal="center" shrinkToFit="1"/>
    </xf>
    <xf numFmtId="176" fontId="1" fillId="0" borderId="34" xfId="1" applyNumberFormat="1" applyBorder="1" applyAlignment="1">
      <alignment horizontal="center" shrinkToFit="1"/>
    </xf>
    <xf numFmtId="38" fontId="1" fillId="0" borderId="0" xfId="1" applyNumberFormat="1"/>
    <xf numFmtId="3" fontId="1" fillId="0" borderId="15" xfId="1" applyNumberFormat="1" applyBorder="1" applyAlignment="1">
      <alignment shrinkToFit="1"/>
    </xf>
    <xf numFmtId="38" fontId="0" fillId="0" borderId="13" xfId="2" applyFont="1" applyBorder="1" applyAlignment="1">
      <alignment horizontal="center"/>
    </xf>
    <xf numFmtId="38" fontId="0" fillId="0" borderId="15" xfId="2" applyFont="1" applyBorder="1" applyAlignment="1">
      <alignment shrinkToFit="1"/>
    </xf>
    <xf numFmtId="38" fontId="0" fillId="0" borderId="0" xfId="2" applyFont="1"/>
    <xf numFmtId="176" fontId="1" fillId="0" borderId="35" xfId="1" applyNumberFormat="1" applyBorder="1" applyAlignment="1">
      <alignment horizontal="center" shrinkToFit="1"/>
    </xf>
    <xf numFmtId="38" fontId="0" fillId="0" borderId="13" xfId="2" applyFont="1" applyBorder="1" applyAlignment="1">
      <alignment horizontal="center" vertical="center"/>
    </xf>
    <xf numFmtId="38" fontId="0" fillId="0" borderId="11" xfId="2" applyFont="1" applyFill="1" applyBorder="1" applyAlignment="1">
      <alignment vertical="center" shrinkToFit="1"/>
    </xf>
    <xf numFmtId="176" fontId="1" fillId="0" borderId="11" xfId="1" applyNumberFormat="1" applyBorder="1" applyAlignment="1">
      <alignment horizontal="right" vertical="center" shrinkToFit="1"/>
    </xf>
    <xf numFmtId="38" fontId="0" fillId="0" borderId="15" xfId="2" applyFont="1" applyBorder="1" applyAlignment="1">
      <alignment vertical="center" shrinkToFit="1"/>
    </xf>
    <xf numFmtId="176" fontId="1" fillId="0" borderId="0" xfId="1" applyNumberFormat="1" applyAlignment="1">
      <alignment vertical="center"/>
    </xf>
    <xf numFmtId="38" fontId="1" fillId="0" borderId="0" xfId="1" applyNumberFormat="1" applyAlignment="1">
      <alignment vertical="center"/>
    </xf>
    <xf numFmtId="38" fontId="0" fillId="0" borderId="0" xfId="2" applyFont="1" applyAlignment="1">
      <alignment vertical="center"/>
    </xf>
    <xf numFmtId="38" fontId="0" fillId="0" borderId="36" xfId="2" applyFont="1" applyBorder="1" applyAlignment="1">
      <alignment horizontal="center" vertical="center"/>
    </xf>
    <xf numFmtId="38" fontId="0" fillId="0" borderId="37" xfId="2" applyFont="1" applyBorder="1" applyAlignment="1">
      <alignment vertical="center" shrinkToFit="1"/>
    </xf>
    <xf numFmtId="38" fontId="0" fillId="0" borderId="37" xfId="2" applyFont="1" applyFill="1" applyBorder="1" applyAlignment="1">
      <alignment vertical="center" shrinkToFit="1"/>
    </xf>
    <xf numFmtId="176" fontId="1" fillId="0" borderId="37" xfId="1" applyNumberFormat="1" applyBorder="1" applyAlignment="1">
      <alignment horizontal="right" vertical="center" shrinkToFit="1"/>
    </xf>
    <xf numFmtId="38" fontId="0" fillId="0" borderId="38" xfId="2" applyFont="1" applyBorder="1" applyAlignment="1">
      <alignment vertical="center" shrinkToFit="1"/>
    </xf>
    <xf numFmtId="38" fontId="0" fillId="0" borderId="16" xfId="2" applyFont="1" applyBorder="1" applyAlignment="1">
      <alignment horizontal="center"/>
    </xf>
    <xf numFmtId="38" fontId="0" fillId="0" borderId="18" xfId="2" applyFont="1" applyBorder="1" applyAlignment="1">
      <alignment vertical="center" shrinkToFit="1"/>
    </xf>
    <xf numFmtId="38" fontId="0" fillId="0" borderId="18" xfId="2" applyFont="1" applyFill="1" applyBorder="1" applyAlignment="1">
      <alignment vertical="center" shrinkToFit="1"/>
    </xf>
    <xf numFmtId="176" fontId="1" fillId="0" borderId="18" xfId="1" applyNumberFormat="1" applyBorder="1" applyAlignment="1">
      <alignment horizontal="right" vertical="center" shrinkToFit="1"/>
    </xf>
    <xf numFmtId="38" fontId="0" fillId="0" borderId="19" xfId="2" applyFont="1" applyBorder="1" applyAlignment="1">
      <alignment vertical="center" shrinkToFit="1"/>
    </xf>
    <xf numFmtId="38" fontId="0" fillId="0" borderId="0" xfId="2" applyFont="1" applyFill="1" applyBorder="1" applyAlignment="1">
      <alignment vertical="center" shrinkToFit="1"/>
    </xf>
    <xf numFmtId="0" fontId="1" fillId="0" borderId="1" xfId="1" applyBorder="1"/>
    <xf numFmtId="0" fontId="1" fillId="0" borderId="1" xfId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2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/>
    <xf numFmtId="0" fontId="1" fillId="0" borderId="7" xfId="1" applyBorder="1" applyAlignment="1">
      <alignment horizontal="center"/>
    </xf>
    <xf numFmtId="0" fontId="1" fillId="0" borderId="26" xfId="1" applyBorder="1" applyAlignment="1">
      <alignment horizontal="center"/>
    </xf>
    <xf numFmtId="178" fontId="1" fillId="0" borderId="9" xfId="1" applyNumberFormat="1" applyBorder="1" applyAlignment="1">
      <alignment horizontal="right" shrinkToFit="1"/>
    </xf>
    <xf numFmtId="0" fontId="1" fillId="0" borderId="9" xfId="1" applyBorder="1" applyAlignment="1">
      <alignment horizontal="right" shrinkToFit="1"/>
    </xf>
    <xf numFmtId="177" fontId="1" fillId="0" borderId="9" xfId="1" applyNumberFormat="1" applyBorder="1" applyAlignment="1">
      <alignment shrinkToFit="1"/>
    </xf>
    <xf numFmtId="178" fontId="1" fillId="0" borderId="11" xfId="1" applyNumberFormat="1" applyBorder="1" applyAlignment="1">
      <alignment horizontal="right" shrinkToFit="1"/>
    </xf>
    <xf numFmtId="0" fontId="1" fillId="0" borderId="11" xfId="1" applyBorder="1" applyAlignment="1">
      <alignment horizontal="right" shrinkToFit="1"/>
    </xf>
    <xf numFmtId="177" fontId="1" fillId="0" borderId="11" xfId="1" applyNumberFormat="1" applyBorder="1" applyAlignment="1">
      <alignment shrinkToFit="1"/>
    </xf>
    <xf numFmtId="0" fontId="1" fillId="0" borderId="13" xfId="1" applyFill="1" applyBorder="1" applyAlignment="1">
      <alignment horizontal="center"/>
    </xf>
    <xf numFmtId="176" fontId="1" fillId="0" borderId="11" xfId="1" applyNumberFormat="1" applyFill="1" applyBorder="1" applyAlignment="1">
      <alignment horizontal="right" shrinkToFit="1"/>
    </xf>
    <xf numFmtId="177" fontId="1" fillId="0" borderId="11" xfId="1" applyNumberFormat="1" applyFill="1" applyBorder="1" applyAlignment="1">
      <alignment shrinkToFit="1"/>
    </xf>
    <xf numFmtId="178" fontId="1" fillId="0" borderId="11" xfId="1" applyNumberFormat="1" applyFill="1" applyBorder="1" applyAlignment="1">
      <alignment shrinkToFit="1"/>
    </xf>
    <xf numFmtId="178" fontId="1" fillId="0" borderId="11" xfId="1" applyNumberFormat="1" applyFill="1" applyBorder="1" applyAlignment="1">
      <alignment horizontal="right" shrinkToFit="1"/>
    </xf>
    <xf numFmtId="179" fontId="1" fillId="0" borderId="11" xfId="1" applyNumberFormat="1" applyBorder="1" applyAlignment="1">
      <alignment shrinkToFit="1"/>
    </xf>
    <xf numFmtId="0" fontId="1" fillId="0" borderId="18" xfId="1" applyBorder="1" applyAlignment="1">
      <alignment horizontal="right" shrinkToFit="1"/>
    </xf>
    <xf numFmtId="177" fontId="1" fillId="0" borderId="18" xfId="1" applyNumberFormat="1" applyBorder="1" applyAlignment="1">
      <alignment shrinkToFit="1"/>
    </xf>
    <xf numFmtId="179" fontId="1" fillId="0" borderId="18" xfId="1" applyNumberFormat="1" applyBorder="1" applyAlignment="1">
      <alignment shrinkToFit="1"/>
    </xf>
    <xf numFmtId="178" fontId="1" fillId="0" borderId="18" xfId="1" applyNumberFormat="1" applyBorder="1" applyAlignment="1">
      <alignment horizontal="right" shrinkToFit="1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1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9" xfId="1" applyBorder="1" applyAlignment="1">
      <alignment horizontal="center"/>
    </xf>
    <xf numFmtId="181" fontId="1" fillId="0" borderId="9" xfId="1" applyNumberFormat="1" applyBorder="1" applyAlignment="1">
      <alignment shrinkToFit="1"/>
    </xf>
    <xf numFmtId="0" fontId="1" fillId="0" borderId="9" xfId="1" applyBorder="1" applyAlignment="1">
      <alignment shrinkToFit="1"/>
    </xf>
    <xf numFmtId="0" fontId="1" fillId="0" borderId="11" xfId="1" applyBorder="1" applyAlignment="1">
      <alignment horizontal="center"/>
    </xf>
    <xf numFmtId="181" fontId="1" fillId="0" borderId="11" xfId="1" applyNumberFormat="1" applyBorder="1" applyAlignment="1">
      <alignment shrinkToFit="1"/>
    </xf>
    <xf numFmtId="0" fontId="1" fillId="0" borderId="15" xfId="1" applyBorder="1" applyAlignment="1">
      <alignment shrinkToFit="1"/>
    </xf>
    <xf numFmtId="182" fontId="1" fillId="0" borderId="11" xfId="1" applyNumberFormat="1" applyBorder="1" applyAlignment="1">
      <alignment shrinkToFit="1"/>
    </xf>
    <xf numFmtId="183" fontId="1" fillId="0" borderId="9" xfId="1" applyNumberFormat="1" applyBorder="1" applyAlignment="1">
      <alignment shrinkToFit="1"/>
    </xf>
    <xf numFmtId="183" fontId="1" fillId="0" borderId="11" xfId="1" applyNumberFormat="1" applyBorder="1" applyAlignment="1">
      <alignment shrinkToFit="1"/>
    </xf>
    <xf numFmtId="183" fontId="0" fillId="0" borderId="11" xfId="2" applyNumberFormat="1" applyFont="1" applyBorder="1" applyAlignment="1">
      <alignment shrinkToFit="1"/>
    </xf>
    <xf numFmtId="38" fontId="0" fillId="0" borderId="0" xfId="2" applyFont="1" applyAlignment="1">
      <alignment shrinkToFit="1"/>
    </xf>
    <xf numFmtId="183" fontId="1" fillId="0" borderId="11" xfId="1" applyNumberFormat="1" applyFont="1" applyBorder="1" applyAlignment="1">
      <alignment shrinkToFit="1"/>
    </xf>
    <xf numFmtId="183" fontId="1" fillId="0" borderId="21" xfId="1" applyNumberFormat="1" applyFont="1" applyBorder="1" applyAlignment="1">
      <alignment shrinkToFit="1"/>
    </xf>
    <xf numFmtId="183" fontId="1" fillId="0" borderId="21" xfId="1" applyNumberFormat="1" applyFont="1" applyFill="1" applyBorder="1" applyAlignment="1">
      <alignment shrinkToFit="1"/>
    </xf>
    <xf numFmtId="183" fontId="1" fillId="0" borderId="18" xfId="1" applyNumberFormat="1" applyFont="1" applyFill="1" applyBorder="1" applyAlignment="1">
      <alignment shrinkToFit="1"/>
    </xf>
    <xf numFmtId="183" fontId="1" fillId="2" borderId="18" xfId="1" applyNumberFormat="1" applyFont="1" applyFill="1" applyBorder="1" applyAlignment="1">
      <alignment shrinkToFit="1"/>
    </xf>
    <xf numFmtId="183" fontId="1" fillId="0" borderId="18" xfId="1" applyNumberFormat="1" applyFont="1" applyBorder="1" applyAlignment="1">
      <alignment shrinkToFit="1"/>
    </xf>
    <xf numFmtId="183" fontId="1" fillId="0" borderId="0" xfId="1" applyNumberFormat="1"/>
    <xf numFmtId="0" fontId="1" fillId="0" borderId="0" xfId="1" applyBorder="1" applyAlignment="1"/>
    <xf numFmtId="0" fontId="1" fillId="0" borderId="0" xfId="1" applyAlignment="1">
      <alignment horizontal="right"/>
    </xf>
    <xf numFmtId="0" fontId="2" fillId="0" borderId="1" xfId="1" applyFont="1" applyBorder="1"/>
    <xf numFmtId="0" fontId="1" fillId="0" borderId="26" xfId="1" applyBorder="1" applyAlignment="1">
      <alignment horizontal="center"/>
    </xf>
    <xf numFmtId="0" fontId="1" fillId="0" borderId="39" xfId="1" applyBorder="1" applyAlignment="1">
      <alignment horizontal="center"/>
    </xf>
    <xf numFmtId="0" fontId="1" fillId="0" borderId="40" xfId="1" applyBorder="1" applyAlignment="1">
      <alignment horizontal="center"/>
    </xf>
    <xf numFmtId="0" fontId="2" fillId="0" borderId="5" xfId="1" applyFont="1" applyBorder="1"/>
    <xf numFmtId="0" fontId="1" fillId="0" borderId="41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shrinkToFit="1"/>
    </xf>
    <xf numFmtId="0" fontId="1" fillId="0" borderId="5" xfId="1" applyBorder="1" applyAlignment="1">
      <alignment horizontal="center" shrinkToFit="1"/>
    </xf>
    <xf numFmtId="0" fontId="1" fillId="0" borderId="4" xfId="1" applyBorder="1" applyAlignment="1">
      <alignment horizontal="left" shrinkToFit="1"/>
    </xf>
    <xf numFmtId="0" fontId="1" fillId="0" borderId="24" xfId="1" applyBorder="1" applyAlignment="1">
      <alignment shrinkToFit="1"/>
    </xf>
    <xf numFmtId="0" fontId="1" fillId="0" borderId="42" xfId="1" applyBorder="1" applyAlignment="1">
      <alignment horizontal="center"/>
    </xf>
    <xf numFmtId="176" fontId="1" fillId="0" borderId="8" xfId="1" applyNumberFormat="1" applyBorder="1"/>
    <xf numFmtId="176" fontId="1" fillId="0" borderId="9" xfId="1" applyNumberFormat="1" applyBorder="1"/>
    <xf numFmtId="176" fontId="1" fillId="0" borderId="9" xfId="1" applyNumberFormat="1" applyBorder="1" applyAlignment="1">
      <alignment horizontal="right"/>
    </xf>
    <xf numFmtId="176" fontId="1" fillId="0" borderId="29" xfId="1" applyNumberFormat="1" applyBorder="1"/>
    <xf numFmtId="3" fontId="1" fillId="0" borderId="11" xfId="1" applyNumberFormat="1" applyBorder="1" applyAlignment="1">
      <alignment horizontal="center"/>
    </xf>
    <xf numFmtId="3" fontId="1" fillId="0" borderId="29" xfId="1" applyNumberFormat="1" applyBorder="1" applyAlignment="1">
      <alignment horizontal="center"/>
    </xf>
    <xf numFmtId="176" fontId="1" fillId="0" borderId="12" xfId="1" applyNumberFormat="1" applyBorder="1"/>
    <xf numFmtId="176" fontId="1" fillId="0" borderId="27" xfId="1" applyNumberFormat="1" applyBorder="1"/>
    <xf numFmtId="176" fontId="1" fillId="0" borderId="43" xfId="1" applyNumberFormat="1" applyBorder="1"/>
    <xf numFmtId="176" fontId="1" fillId="0" borderId="42" xfId="1" applyNumberFormat="1" applyBorder="1"/>
    <xf numFmtId="0" fontId="1" fillId="0" borderId="44" xfId="1" applyBorder="1" applyAlignment="1">
      <alignment horizontal="center"/>
    </xf>
    <xf numFmtId="176" fontId="1" fillId="0" borderId="13" xfId="1" applyNumberFormat="1" applyBorder="1"/>
    <xf numFmtId="176" fontId="1" fillId="0" borderId="11" xfId="1" applyNumberFormat="1" applyBorder="1"/>
    <xf numFmtId="176" fontId="1" fillId="0" borderId="11" xfId="1" applyNumberFormat="1" applyBorder="1" applyAlignment="1">
      <alignment horizontal="right"/>
    </xf>
    <xf numFmtId="176" fontId="1" fillId="0" borderId="15" xfId="1" applyNumberFormat="1" applyBorder="1"/>
    <xf numFmtId="176" fontId="1" fillId="0" borderId="28" xfId="1" applyNumberFormat="1" applyBorder="1"/>
    <xf numFmtId="176" fontId="1" fillId="0" borderId="45" xfId="1" applyNumberFormat="1" applyBorder="1"/>
    <xf numFmtId="176" fontId="1" fillId="0" borderId="44" xfId="1" applyNumberFormat="1" applyBorder="1"/>
    <xf numFmtId="176" fontId="1" fillId="0" borderId="13" xfId="1" applyNumberFormat="1" applyBorder="1" applyAlignment="1">
      <alignment horizontal="right"/>
    </xf>
    <xf numFmtId="176" fontId="1" fillId="0" borderId="28" xfId="1" applyNumberFormat="1" applyBorder="1" applyAlignment="1">
      <alignment horizontal="right"/>
    </xf>
    <xf numFmtId="38" fontId="1" fillId="0" borderId="11" xfId="2" applyFont="1" applyBorder="1"/>
    <xf numFmtId="3" fontId="1" fillId="0" borderId="11" xfId="1" applyNumberFormat="1" applyBorder="1"/>
    <xf numFmtId="3" fontId="1" fillId="0" borderId="13" xfId="1" applyNumberFormat="1" applyBorder="1"/>
    <xf numFmtId="0" fontId="1" fillId="0" borderId="46" xfId="1" applyBorder="1" applyAlignment="1">
      <alignment horizontal="center"/>
    </xf>
    <xf numFmtId="176" fontId="1" fillId="0" borderId="20" xfId="1" applyNumberFormat="1" applyBorder="1"/>
    <xf numFmtId="176" fontId="1" fillId="0" borderId="21" xfId="1" applyNumberFormat="1" applyBorder="1"/>
    <xf numFmtId="38" fontId="0" fillId="0" borderId="21" xfId="2" applyFont="1" applyBorder="1"/>
    <xf numFmtId="3" fontId="1" fillId="0" borderId="21" xfId="1" applyNumberFormat="1" applyBorder="1" applyAlignment="1">
      <alignment horizontal="center"/>
    </xf>
    <xf numFmtId="176" fontId="1" fillId="0" borderId="22" xfId="1" applyNumberFormat="1" applyBorder="1"/>
    <xf numFmtId="176" fontId="1" fillId="0" borderId="31" xfId="1" applyNumberFormat="1" applyBorder="1"/>
    <xf numFmtId="176" fontId="1" fillId="0" borderId="47" xfId="1" applyNumberFormat="1" applyBorder="1"/>
    <xf numFmtId="176" fontId="1" fillId="0" borderId="46" xfId="1" applyNumberFormat="1" applyBorder="1"/>
    <xf numFmtId="176" fontId="1" fillId="0" borderId="11" xfId="1" applyNumberFormat="1" applyFill="1" applyBorder="1"/>
    <xf numFmtId="0" fontId="1" fillId="0" borderId="13" xfId="1" applyFont="1" applyBorder="1" applyAlignment="1">
      <alignment horizontal="center"/>
    </xf>
    <xf numFmtId="0" fontId="2" fillId="0" borderId="0" xfId="1" applyFont="1" applyFill="1"/>
    <xf numFmtId="0" fontId="1" fillId="0" borderId="0" xfId="1" applyFill="1"/>
    <xf numFmtId="0" fontId="1" fillId="0" borderId="1" xfId="1" applyFill="1" applyBorder="1"/>
    <xf numFmtId="0" fontId="1" fillId="0" borderId="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3" xfId="1" applyFill="1" applyBorder="1" applyAlignment="1">
      <alignment horizontal="center"/>
    </xf>
    <xf numFmtId="0" fontId="1" fillId="0" borderId="3" xfId="1" applyFill="1" applyBorder="1"/>
    <xf numFmtId="0" fontId="1" fillId="0" borderId="4" xfId="1" applyFill="1" applyBorder="1" applyAlignment="1">
      <alignment horizontal="center"/>
    </xf>
    <xf numFmtId="0" fontId="1" fillId="0" borderId="4" xfId="1" applyFill="1" applyBorder="1"/>
    <xf numFmtId="0" fontId="1" fillId="0" borderId="4" xfId="1" applyFill="1" applyBorder="1" applyAlignment="1">
      <alignment wrapText="1"/>
    </xf>
    <xf numFmtId="0" fontId="1" fillId="0" borderId="39" xfId="1" applyFill="1" applyBorder="1" applyAlignment="1">
      <alignment horizontal="center"/>
    </xf>
    <xf numFmtId="0" fontId="1" fillId="0" borderId="41" xfId="1" applyFill="1" applyBorder="1" applyAlignment="1">
      <alignment horizontal="center"/>
    </xf>
    <xf numFmtId="0" fontId="1" fillId="0" borderId="40" xfId="1" applyFill="1" applyBorder="1" applyAlignment="1">
      <alignment horizontal="center"/>
    </xf>
    <xf numFmtId="0" fontId="10" fillId="0" borderId="1" xfId="1" applyFont="1" applyFill="1" applyBorder="1"/>
    <xf numFmtId="0" fontId="10" fillId="0" borderId="39" xfId="1" applyFont="1" applyFill="1" applyBorder="1" applyAlignment="1">
      <alignment horizontal="center"/>
    </xf>
    <xf numFmtId="0" fontId="10" fillId="0" borderId="40" xfId="1" applyFont="1" applyFill="1" applyBorder="1" applyAlignment="1">
      <alignment horizontal="center"/>
    </xf>
    <xf numFmtId="0" fontId="1" fillId="0" borderId="48" xfId="1" applyFill="1" applyBorder="1"/>
    <xf numFmtId="0" fontId="10" fillId="0" borderId="4" xfId="1" applyFont="1" applyFill="1" applyBorder="1"/>
    <xf numFmtId="0" fontId="10" fillId="0" borderId="48" xfId="1" applyFont="1" applyFill="1" applyBorder="1"/>
    <xf numFmtId="0" fontId="1" fillId="0" borderId="6" xfId="1" applyFill="1" applyBorder="1"/>
    <xf numFmtId="0" fontId="1" fillId="0" borderId="7" xfId="1" applyFill="1" applyBorder="1" applyAlignment="1">
      <alignment wrapText="1"/>
    </xf>
    <xf numFmtId="0" fontId="1" fillId="0" borderId="7" xfId="1" applyFill="1" applyBorder="1"/>
    <xf numFmtId="178" fontId="1" fillId="0" borderId="11" xfId="1" applyNumberFormat="1" applyFill="1" applyBorder="1"/>
    <xf numFmtId="0" fontId="1" fillId="0" borderId="11" xfId="1" applyFill="1" applyBorder="1"/>
    <xf numFmtId="180" fontId="1" fillId="0" borderId="11" xfId="1" applyNumberFormat="1" applyFill="1" applyBorder="1"/>
    <xf numFmtId="176" fontId="1" fillId="0" borderId="11" xfId="1" applyNumberFormat="1" applyFill="1" applyBorder="1" applyAlignment="1">
      <alignment horizontal="right"/>
    </xf>
    <xf numFmtId="176" fontId="1" fillId="0" borderId="15" xfId="1" applyNumberFormat="1" applyFill="1" applyBorder="1" applyAlignment="1">
      <alignment horizontal="right"/>
    </xf>
    <xf numFmtId="176" fontId="1" fillId="0" borderId="49" xfId="1" applyNumberFormat="1" applyFill="1" applyBorder="1"/>
    <xf numFmtId="0" fontId="1" fillId="0" borderId="9" xfId="1" applyFill="1" applyBorder="1"/>
    <xf numFmtId="176" fontId="1" fillId="0" borderId="50" xfId="1" applyNumberFormat="1" applyFill="1" applyBorder="1"/>
    <xf numFmtId="0" fontId="1" fillId="0" borderId="11" xfId="1" applyFill="1" applyBorder="1" applyAlignment="1">
      <alignment horizontal="right"/>
    </xf>
    <xf numFmtId="177" fontId="1" fillId="0" borderId="11" xfId="1" applyNumberFormat="1" applyFill="1" applyBorder="1"/>
    <xf numFmtId="3" fontId="1" fillId="0" borderId="11" xfId="1" applyNumberFormat="1" applyFill="1" applyBorder="1"/>
    <xf numFmtId="0" fontId="1" fillId="0" borderId="25" xfId="1" applyBorder="1"/>
    <xf numFmtId="0" fontId="1" fillId="0" borderId="29" xfId="1" applyBorder="1" applyAlignment="1">
      <alignment horizontal="center"/>
    </xf>
    <xf numFmtId="38" fontId="10" fillId="0" borderId="0" xfId="2" applyFont="1" applyBorder="1" applyAlignment="1">
      <alignment horizontal="center" shrinkToFit="1"/>
    </xf>
    <xf numFmtId="0" fontId="1" fillId="0" borderId="0" xfId="1" applyBorder="1" applyAlignment="1">
      <alignment vertical="center" shrinkToFit="1"/>
    </xf>
    <xf numFmtId="0" fontId="1" fillId="0" borderId="0" xfId="1" applyBorder="1" applyAlignment="1">
      <alignment shrinkToFit="1"/>
    </xf>
    <xf numFmtId="0" fontId="1" fillId="0" borderId="1" xfId="1" applyFill="1" applyBorder="1" applyAlignment="1">
      <alignment shrinkToFit="1"/>
    </xf>
    <xf numFmtId="0" fontId="1" fillId="0" borderId="4" xfId="1" applyFill="1" applyBorder="1" applyAlignment="1">
      <alignment shrinkToFit="1"/>
    </xf>
    <xf numFmtId="0" fontId="12" fillId="0" borderId="4" xfId="1" applyFont="1" applyFill="1" applyBorder="1" applyAlignment="1">
      <alignment shrinkToFit="1"/>
    </xf>
    <xf numFmtId="0" fontId="1" fillId="0" borderId="53" xfId="1" applyFill="1" applyBorder="1" applyAlignment="1">
      <alignment horizontal="center"/>
    </xf>
    <xf numFmtId="0" fontId="1" fillId="0" borderId="53" xfId="1" applyFill="1" applyBorder="1"/>
    <xf numFmtId="0" fontId="1" fillId="0" borderId="53" xfId="1" applyFill="1" applyBorder="1" applyAlignment="1">
      <alignment shrinkToFit="1"/>
    </xf>
    <xf numFmtId="0" fontId="13" fillId="0" borderId="13" xfId="1" applyFont="1" applyBorder="1" applyAlignment="1">
      <alignment horizontal="center"/>
    </xf>
    <xf numFmtId="3" fontId="13" fillId="0" borderId="11" xfId="1" applyNumberFormat="1" applyFont="1" applyBorder="1" applyAlignment="1">
      <alignment shrinkToFit="1"/>
    </xf>
    <xf numFmtId="182" fontId="13" fillId="0" borderId="11" xfId="1" applyNumberFormat="1" applyFont="1" applyBorder="1" applyAlignment="1">
      <alignment shrinkToFit="1"/>
    </xf>
    <xf numFmtId="0" fontId="13" fillId="0" borderId="11" xfId="1" applyFont="1" applyBorder="1" applyAlignment="1">
      <alignment shrinkToFit="1"/>
    </xf>
    <xf numFmtId="3" fontId="13" fillId="0" borderId="15" xfId="1" applyNumberFormat="1" applyFont="1" applyBorder="1" applyAlignment="1">
      <alignment shrinkToFit="1"/>
    </xf>
    <xf numFmtId="0" fontId="13" fillId="0" borderId="15" xfId="1" applyFont="1" applyBorder="1" applyAlignment="1">
      <alignment shrinkToFit="1"/>
    </xf>
    <xf numFmtId="38" fontId="14" fillId="0" borderId="11" xfId="2" applyFont="1" applyBorder="1" applyAlignment="1">
      <alignment shrinkToFit="1"/>
    </xf>
    <xf numFmtId="0" fontId="13" fillId="0" borderId="11" xfId="1" applyFont="1" applyFill="1" applyBorder="1" applyAlignment="1">
      <alignment shrinkToFit="1"/>
    </xf>
    <xf numFmtId="0" fontId="13" fillId="0" borderId="16" xfId="1" applyFont="1" applyBorder="1" applyAlignment="1">
      <alignment horizontal="center"/>
    </xf>
    <xf numFmtId="38" fontId="14" fillId="0" borderId="18" xfId="2" applyFont="1" applyBorder="1" applyAlignment="1">
      <alignment shrinkToFit="1"/>
    </xf>
    <xf numFmtId="182" fontId="13" fillId="0" borderId="18" xfId="1" applyNumberFormat="1" applyFont="1" applyBorder="1" applyAlignment="1">
      <alignment shrinkToFit="1"/>
    </xf>
    <xf numFmtId="0" fontId="13" fillId="0" borderId="18" xfId="1" applyFont="1" applyBorder="1" applyAlignment="1">
      <alignment shrinkToFit="1"/>
    </xf>
    <xf numFmtId="0" fontId="13" fillId="0" borderId="19" xfId="1" applyFont="1" applyBorder="1" applyAlignment="1">
      <alignment shrinkToFit="1"/>
    </xf>
    <xf numFmtId="38" fontId="15" fillId="0" borderId="13" xfId="2" applyFont="1" applyBorder="1" applyAlignment="1">
      <alignment horizontal="center"/>
    </xf>
    <xf numFmtId="183" fontId="15" fillId="0" borderId="11" xfId="2" applyNumberFormat="1" applyFont="1" applyBorder="1" applyAlignment="1">
      <alignment shrinkToFit="1"/>
    </xf>
    <xf numFmtId="38" fontId="15" fillId="0" borderId="15" xfId="2" applyFont="1" applyBorder="1" applyAlignment="1">
      <alignment shrinkToFit="1"/>
    </xf>
    <xf numFmtId="0" fontId="1" fillId="0" borderId="15" xfId="1" applyFont="1" applyBorder="1" applyAlignment="1">
      <alignment shrinkToFit="1"/>
    </xf>
    <xf numFmtId="183" fontId="1" fillId="0" borderId="11" xfId="1" applyNumberFormat="1" applyFont="1" applyFill="1" applyBorder="1" applyAlignment="1">
      <alignment shrinkToFit="1"/>
    </xf>
    <xf numFmtId="0" fontId="1" fillId="0" borderId="15" xfId="1" applyFont="1" applyFill="1" applyBorder="1" applyAlignment="1">
      <alignment shrinkToFit="1"/>
    </xf>
    <xf numFmtId="0" fontId="1" fillId="0" borderId="13" xfId="1" applyFont="1" applyBorder="1" applyAlignment="1">
      <alignment horizontal="center" wrapText="1"/>
    </xf>
    <xf numFmtId="0" fontId="1" fillId="0" borderId="20" xfId="1" applyFont="1" applyBorder="1" applyAlignment="1">
      <alignment horizontal="center" wrapText="1"/>
    </xf>
    <xf numFmtId="0" fontId="1" fillId="0" borderId="22" xfId="1" applyFont="1" applyBorder="1" applyAlignment="1">
      <alignment shrinkToFit="1"/>
    </xf>
    <xf numFmtId="0" fontId="1" fillId="0" borderId="16" xfId="1" applyFont="1" applyBorder="1" applyAlignment="1">
      <alignment horizontal="center" wrapText="1"/>
    </xf>
    <xf numFmtId="0" fontId="1" fillId="0" borderId="19" xfId="1" applyFont="1" applyBorder="1" applyAlignment="1">
      <alignment shrinkToFit="1"/>
    </xf>
    <xf numFmtId="0" fontId="16" fillId="0" borderId="13" xfId="1" applyFont="1" applyBorder="1" applyAlignment="1">
      <alignment horizontal="center"/>
    </xf>
    <xf numFmtId="176" fontId="16" fillId="0" borderId="11" xfId="1" applyNumberFormat="1" applyFont="1" applyBorder="1"/>
    <xf numFmtId="38" fontId="17" fillId="0" borderId="11" xfId="2" applyFont="1" applyBorder="1"/>
    <xf numFmtId="3" fontId="16" fillId="0" borderId="11" xfId="1" applyNumberFormat="1" applyFont="1" applyBorder="1" applyAlignment="1">
      <alignment horizontal="center"/>
    </xf>
    <xf numFmtId="3" fontId="16" fillId="0" borderId="11" xfId="1" applyNumberFormat="1" applyFont="1" applyBorder="1" applyAlignment="1">
      <alignment horizontal="right"/>
    </xf>
    <xf numFmtId="176" fontId="16" fillId="0" borderId="11" xfId="1" applyNumberFormat="1" applyFont="1" applyFill="1" applyBorder="1"/>
    <xf numFmtId="176" fontId="16" fillId="0" borderId="15" xfId="1" applyNumberFormat="1" applyFont="1" applyBorder="1"/>
    <xf numFmtId="3" fontId="16" fillId="0" borderId="11" xfId="1" applyNumberFormat="1" applyFont="1" applyBorder="1" applyAlignment="1">
      <alignment horizontal="center" shrinkToFit="1"/>
    </xf>
    <xf numFmtId="3" fontId="16" fillId="0" borderId="11" xfId="1" applyNumberFormat="1" applyFont="1" applyBorder="1"/>
    <xf numFmtId="176" fontId="16" fillId="0" borderId="15" xfId="1" applyNumberFormat="1" applyFont="1" applyFill="1" applyBorder="1"/>
    <xf numFmtId="3" fontId="16" fillId="0" borderId="11" xfId="1" applyNumberFormat="1" applyFont="1" applyBorder="1" applyAlignment="1"/>
    <xf numFmtId="3" fontId="16" fillId="0" borderId="11" xfId="1" applyNumberFormat="1" applyFont="1" applyFill="1" applyBorder="1" applyAlignment="1">
      <alignment horizontal="center"/>
    </xf>
    <xf numFmtId="3" fontId="16" fillId="0" borderId="11" xfId="1" applyNumberFormat="1" applyFont="1" applyBorder="1" applyAlignment="1">
      <alignment shrinkToFit="1"/>
    </xf>
    <xf numFmtId="0" fontId="16" fillId="0" borderId="16" xfId="1" applyFont="1" applyBorder="1" applyAlignment="1">
      <alignment horizontal="center"/>
    </xf>
    <xf numFmtId="3" fontId="16" fillId="0" borderId="18" xfId="1" applyNumberFormat="1" applyFont="1" applyBorder="1"/>
    <xf numFmtId="38" fontId="17" fillId="0" borderId="18" xfId="2" applyFont="1" applyBorder="1"/>
    <xf numFmtId="3" fontId="16" fillId="0" borderId="18" xfId="1" applyNumberFormat="1" applyFont="1" applyBorder="1" applyAlignment="1">
      <alignment horizontal="center" shrinkToFit="1"/>
    </xf>
    <xf numFmtId="176" fontId="16" fillId="0" borderId="18" xfId="1" applyNumberFormat="1" applyFont="1" applyFill="1" applyBorder="1"/>
    <xf numFmtId="3" fontId="16" fillId="0" borderId="18" xfId="1" applyNumberFormat="1" applyFont="1" applyBorder="1" applyAlignment="1">
      <alignment shrinkToFit="1"/>
    </xf>
    <xf numFmtId="3" fontId="16" fillId="0" borderId="18" xfId="1" applyNumberFormat="1" applyFont="1" applyBorder="1" applyAlignment="1">
      <alignment horizontal="center"/>
    </xf>
    <xf numFmtId="176" fontId="16" fillId="0" borderId="19" xfId="1" applyNumberFormat="1" applyFont="1" applyFill="1" applyBorder="1"/>
    <xf numFmtId="0" fontId="16" fillId="0" borderId="13" xfId="1" applyFont="1" applyFill="1" applyBorder="1" applyAlignment="1">
      <alignment horizontal="center"/>
    </xf>
    <xf numFmtId="178" fontId="16" fillId="0" borderId="11" xfId="1" applyNumberFormat="1" applyFont="1" applyFill="1" applyBorder="1"/>
    <xf numFmtId="177" fontId="16" fillId="0" borderId="11" xfId="1" applyNumberFormat="1" applyFont="1" applyFill="1" applyBorder="1"/>
    <xf numFmtId="180" fontId="16" fillId="0" borderId="11" xfId="1" applyNumberFormat="1" applyFont="1" applyFill="1" applyBorder="1"/>
    <xf numFmtId="176" fontId="16" fillId="0" borderId="11" xfId="1" applyNumberFormat="1" applyFont="1" applyFill="1" applyBorder="1" applyAlignment="1">
      <alignment horizontal="right"/>
    </xf>
    <xf numFmtId="176" fontId="16" fillId="0" borderId="15" xfId="1" applyNumberFormat="1" applyFont="1" applyFill="1" applyBorder="1" applyAlignment="1">
      <alignment horizontal="right"/>
    </xf>
    <xf numFmtId="176" fontId="16" fillId="0" borderId="50" xfId="1" applyNumberFormat="1" applyFont="1" applyFill="1" applyBorder="1"/>
    <xf numFmtId="179" fontId="16" fillId="0" borderId="11" xfId="1" applyNumberFormat="1" applyFont="1" applyFill="1" applyBorder="1"/>
    <xf numFmtId="0" fontId="16" fillId="0" borderId="11" xfId="1" applyFont="1" applyFill="1" applyBorder="1"/>
    <xf numFmtId="179" fontId="16" fillId="0" borderId="11" xfId="1" applyNumberFormat="1" applyFont="1" applyFill="1" applyBorder="1" applyAlignment="1">
      <alignment horizontal="right"/>
    </xf>
    <xf numFmtId="179" fontId="18" fillId="0" borderId="11" xfId="1" applyNumberFormat="1" applyFont="1" applyFill="1" applyBorder="1"/>
    <xf numFmtId="180" fontId="16" fillId="0" borderId="15" xfId="1" applyNumberFormat="1" applyFont="1" applyFill="1" applyBorder="1"/>
    <xf numFmtId="180" fontId="17" fillId="0" borderId="11" xfId="1" applyNumberFormat="1" applyFont="1" applyFill="1" applyBorder="1"/>
    <xf numFmtId="180" fontId="17" fillId="0" borderId="15" xfId="1" applyNumberFormat="1" applyFont="1" applyFill="1" applyBorder="1"/>
    <xf numFmtId="176" fontId="16" fillId="0" borderId="51" xfId="1" applyNumberFormat="1" applyFont="1" applyFill="1" applyBorder="1"/>
    <xf numFmtId="176" fontId="16" fillId="0" borderId="21" xfId="1" applyNumberFormat="1" applyFont="1" applyFill="1" applyBorder="1" applyAlignment="1">
      <alignment horizontal="right"/>
    </xf>
    <xf numFmtId="0" fontId="16" fillId="0" borderId="11" xfId="1" applyNumberFormat="1" applyFont="1" applyFill="1" applyBorder="1"/>
    <xf numFmtId="0" fontId="17" fillId="0" borderId="15" xfId="1" applyNumberFormat="1" applyFont="1" applyFill="1" applyBorder="1"/>
    <xf numFmtId="0" fontId="16" fillId="0" borderId="15" xfId="1" applyNumberFormat="1" applyFont="1" applyFill="1" applyBorder="1"/>
    <xf numFmtId="176" fontId="16" fillId="0" borderId="52" xfId="1" applyNumberFormat="1" applyFont="1" applyFill="1" applyBorder="1" applyAlignment="1">
      <alignment horizontal="right"/>
    </xf>
    <xf numFmtId="176" fontId="16" fillId="0" borderId="18" xfId="1" applyNumberFormat="1" applyFont="1" applyFill="1" applyBorder="1" applyAlignment="1">
      <alignment horizontal="right"/>
    </xf>
    <xf numFmtId="0" fontId="16" fillId="0" borderId="16" xfId="1" applyFont="1" applyFill="1" applyBorder="1" applyAlignment="1">
      <alignment horizontal="center"/>
    </xf>
    <xf numFmtId="178" fontId="16" fillId="0" borderId="18" xfId="1" applyNumberFormat="1" applyFont="1" applyFill="1" applyBorder="1"/>
    <xf numFmtId="180" fontId="16" fillId="0" borderId="18" xfId="1" applyNumberFormat="1" applyFont="1" applyFill="1" applyBorder="1"/>
    <xf numFmtId="179" fontId="16" fillId="0" borderId="18" xfId="1" applyNumberFormat="1" applyFont="1" applyFill="1" applyBorder="1"/>
    <xf numFmtId="0" fontId="16" fillId="0" borderId="18" xfId="1" applyNumberFormat="1" applyFont="1" applyFill="1" applyBorder="1"/>
    <xf numFmtId="0" fontId="16" fillId="0" borderId="19" xfId="1" applyNumberFormat="1" applyFont="1" applyFill="1" applyBorder="1"/>
    <xf numFmtId="38" fontId="17" fillId="0" borderId="11" xfId="2" applyFont="1" applyFill="1" applyBorder="1"/>
    <xf numFmtId="38" fontId="17" fillId="0" borderId="18" xfId="2" applyFont="1" applyFill="1" applyBorder="1"/>
    <xf numFmtId="3" fontId="16" fillId="0" borderId="11" xfId="1" applyNumberFormat="1" applyFont="1" applyFill="1" applyBorder="1"/>
    <xf numFmtId="0" fontId="16" fillId="0" borderId="15" xfId="1" applyFont="1" applyFill="1" applyBorder="1"/>
    <xf numFmtId="0" fontId="16" fillId="0" borderId="11" xfId="1" quotePrefix="1" applyFont="1" applyFill="1" applyBorder="1" applyAlignment="1">
      <alignment horizontal="right"/>
    </xf>
    <xf numFmtId="0" fontId="16" fillId="0" borderId="15" xfId="1" applyFont="1" applyFill="1" applyBorder="1" applyAlignment="1">
      <alignment shrinkToFit="1"/>
    </xf>
    <xf numFmtId="3" fontId="16" fillId="0" borderId="18" xfId="1" applyNumberFormat="1" applyFont="1" applyFill="1" applyBorder="1"/>
    <xf numFmtId="177" fontId="16" fillId="0" borderId="18" xfId="1" applyNumberFormat="1" applyFont="1" applyFill="1" applyBorder="1"/>
    <xf numFmtId="0" fontId="16" fillId="0" borderId="19" xfId="1" applyFont="1" applyFill="1" applyBorder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1"/>
          <c:tx>
            <c:strRef>
              <c:f>歳入の内訳!$C$2</c:f>
              <c:strCache>
                <c:ptCount val="1"/>
                <c:pt idx="0">
                  <c:v>　町　　税</c:v>
                </c:pt>
              </c:strCache>
            </c:strRef>
          </c:tx>
          <c:invertIfNegative val="0"/>
          <c:val>
            <c:numRef>
              <c:f>歳入の内訳!$C$21:$C$60</c:f>
              <c:numCache>
                <c:formatCode>#,##0;"△"#,##0</c:formatCode>
                <c:ptCount val="40"/>
                <c:pt idx="0">
                  <c:v>1166624</c:v>
                </c:pt>
                <c:pt idx="1">
                  <c:v>1304428</c:v>
                </c:pt>
                <c:pt idx="2">
                  <c:v>1465888</c:v>
                </c:pt>
                <c:pt idx="3">
                  <c:v>1684727</c:v>
                </c:pt>
                <c:pt idx="4">
                  <c:v>1891939</c:v>
                </c:pt>
                <c:pt idx="5">
                  <c:v>1990756</c:v>
                </c:pt>
                <c:pt idx="6">
                  <c:v>2010501</c:v>
                </c:pt>
                <c:pt idx="7">
                  <c:v>2183948</c:v>
                </c:pt>
                <c:pt idx="8">
                  <c:v>2313485</c:v>
                </c:pt>
                <c:pt idx="9">
                  <c:v>2464456</c:v>
                </c:pt>
                <c:pt idx="10">
                  <c:v>2650777</c:v>
                </c:pt>
                <c:pt idx="11">
                  <c:v>2715045</c:v>
                </c:pt>
                <c:pt idx="12">
                  <c:v>2772161</c:v>
                </c:pt>
                <c:pt idx="13">
                  <c:v>2672395</c:v>
                </c:pt>
                <c:pt idx="14">
                  <c:v>2903137</c:v>
                </c:pt>
                <c:pt idx="15">
                  <c:v>3097234</c:v>
                </c:pt>
                <c:pt idx="16">
                  <c:v>3200814</c:v>
                </c:pt>
                <c:pt idx="17">
                  <c:v>3726138</c:v>
                </c:pt>
                <c:pt idx="18">
                  <c:v>3305652</c:v>
                </c:pt>
                <c:pt idx="19">
                  <c:v>3511634</c:v>
                </c:pt>
                <c:pt idx="20">
                  <c:v>3646866</c:v>
                </c:pt>
                <c:pt idx="21">
                  <c:v>3055187</c:v>
                </c:pt>
                <c:pt idx="22">
                  <c:v>2952516</c:v>
                </c:pt>
                <c:pt idx="23" formatCode="#,##0">
                  <c:v>3093429</c:v>
                </c:pt>
                <c:pt idx="24" formatCode="#,##0">
                  <c:v>3168589</c:v>
                </c:pt>
                <c:pt idx="25" formatCode="#,##0">
                  <c:v>3350647</c:v>
                </c:pt>
                <c:pt idx="26" formatCode="#,##0">
                  <c:v>3736281</c:v>
                </c:pt>
                <c:pt idx="27" formatCode="#,##0">
                  <c:v>3835070</c:v>
                </c:pt>
                <c:pt idx="28" formatCode="#,##0">
                  <c:v>3489213</c:v>
                </c:pt>
                <c:pt idx="29" formatCode="#,##0">
                  <c:v>3235938</c:v>
                </c:pt>
                <c:pt idx="30" formatCode="#,##0">
                  <c:v>3338163</c:v>
                </c:pt>
                <c:pt idx="31" formatCode="#,##0">
                  <c:v>3344251</c:v>
                </c:pt>
                <c:pt idx="32" formatCode="#,##0">
                  <c:v>3276443</c:v>
                </c:pt>
                <c:pt idx="33" formatCode="#,##0">
                  <c:v>3510604</c:v>
                </c:pt>
                <c:pt idx="34" formatCode="#,##0">
                  <c:v>3373998</c:v>
                </c:pt>
                <c:pt idx="35" formatCode="#,##0">
                  <c:v>3381829</c:v>
                </c:pt>
                <c:pt idx="36" formatCode="#,##0">
                  <c:v>3412468</c:v>
                </c:pt>
                <c:pt idx="37" formatCode="#,##0">
                  <c:v>3491654</c:v>
                </c:pt>
                <c:pt idx="38" formatCode="#,##0">
                  <c:v>3487546</c:v>
                </c:pt>
                <c:pt idx="39" formatCode="#,##0">
                  <c:v>3417483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6-48F5-AB77-96A9EF727B29}"/>
            </c:ext>
          </c:extLst>
        </c:ser>
        <c:ser>
          <c:idx val="1"/>
          <c:order val="2"/>
          <c:tx>
            <c:strRef>
              <c:f>歳入の内訳!$D$2</c:f>
              <c:strCache>
                <c:ptCount val="1"/>
                <c:pt idx="0">
                  <c:v>地方交付税</c:v>
                </c:pt>
              </c:strCache>
            </c:strRef>
          </c:tx>
          <c:invertIfNegative val="0"/>
          <c:val>
            <c:numRef>
              <c:f>歳入の内訳!$D$21:$D$60</c:f>
              <c:numCache>
                <c:formatCode>#,##0;"△"#,##0</c:formatCode>
                <c:ptCount val="40"/>
                <c:pt idx="0">
                  <c:v>966687</c:v>
                </c:pt>
                <c:pt idx="1">
                  <c:v>824721</c:v>
                </c:pt>
                <c:pt idx="2">
                  <c:v>857542</c:v>
                </c:pt>
                <c:pt idx="3">
                  <c:v>757029</c:v>
                </c:pt>
                <c:pt idx="4">
                  <c:v>660520</c:v>
                </c:pt>
                <c:pt idx="5">
                  <c:v>695419</c:v>
                </c:pt>
                <c:pt idx="6">
                  <c:v>821346</c:v>
                </c:pt>
                <c:pt idx="7">
                  <c:v>1048551</c:v>
                </c:pt>
                <c:pt idx="8">
                  <c:v>1247781</c:v>
                </c:pt>
                <c:pt idx="9">
                  <c:v>1272028</c:v>
                </c:pt>
                <c:pt idx="10">
                  <c:v>1537642</c:v>
                </c:pt>
                <c:pt idx="11">
                  <c:v>2064940</c:v>
                </c:pt>
                <c:pt idx="12">
                  <c:v>1436118</c:v>
                </c:pt>
                <c:pt idx="13">
                  <c:v>1761657</c:v>
                </c:pt>
                <c:pt idx="14">
                  <c:v>1971502</c:v>
                </c:pt>
                <c:pt idx="15">
                  <c:v>2050028</c:v>
                </c:pt>
                <c:pt idx="16">
                  <c:v>1901382</c:v>
                </c:pt>
                <c:pt idx="17">
                  <c:v>1955583</c:v>
                </c:pt>
                <c:pt idx="18">
                  <c:v>1644360</c:v>
                </c:pt>
                <c:pt idx="19">
                  <c:v>2248246</c:v>
                </c:pt>
                <c:pt idx="20">
                  <c:v>1805876</c:v>
                </c:pt>
                <c:pt idx="21">
                  <c:v>1717869</c:v>
                </c:pt>
                <c:pt idx="22">
                  <c:v>2124395</c:v>
                </c:pt>
                <c:pt idx="23" formatCode="#,##0">
                  <c:v>2113936</c:v>
                </c:pt>
                <c:pt idx="24" formatCode="#,##0">
                  <c:v>1947503</c:v>
                </c:pt>
                <c:pt idx="25" formatCode="#,##0">
                  <c:v>1622065</c:v>
                </c:pt>
                <c:pt idx="26" formatCode="#,##0">
                  <c:v>1389640</c:v>
                </c:pt>
                <c:pt idx="27" formatCode="#,##0">
                  <c:v>1516488</c:v>
                </c:pt>
                <c:pt idx="28" formatCode="#,##0">
                  <c:v>1595781</c:v>
                </c:pt>
                <c:pt idx="29" formatCode="#,##0">
                  <c:v>2054819</c:v>
                </c:pt>
                <c:pt idx="30" formatCode="#,##0">
                  <c:v>2200394</c:v>
                </c:pt>
                <c:pt idx="31" formatCode="#,##0">
                  <c:v>2134302</c:v>
                </c:pt>
                <c:pt idx="32" formatCode="#,##0">
                  <c:v>2088099</c:v>
                </c:pt>
                <c:pt idx="33" formatCode="#,##0">
                  <c:v>2176881</c:v>
                </c:pt>
                <c:pt idx="34" formatCode="#,##0">
                  <c:v>2121254</c:v>
                </c:pt>
                <c:pt idx="35" formatCode="#,##0">
                  <c:v>2149982</c:v>
                </c:pt>
                <c:pt idx="36" formatCode="#,##0">
                  <c:v>2069164</c:v>
                </c:pt>
                <c:pt idx="37" formatCode="#,##0">
                  <c:v>2086548</c:v>
                </c:pt>
                <c:pt idx="38" formatCode="#,##0">
                  <c:v>2081472</c:v>
                </c:pt>
                <c:pt idx="39" formatCode="#,##0">
                  <c:v>2394657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6-48F5-AB77-96A9EF727B29}"/>
            </c:ext>
          </c:extLst>
        </c:ser>
        <c:ser>
          <c:idx val="3"/>
          <c:order val="3"/>
          <c:tx>
            <c:strRef>
              <c:f>歳入の内訳!$K$2</c:f>
              <c:strCache>
                <c:ptCount val="1"/>
                <c:pt idx="0">
                  <c:v>国庫支出金</c:v>
                </c:pt>
              </c:strCache>
            </c:strRef>
          </c:tx>
          <c:invertIfNegative val="0"/>
          <c:val>
            <c:numRef>
              <c:f>歳入の内訳!$K$21:$K$60</c:f>
              <c:numCache>
                <c:formatCode>#,##0;"△"#,##0</c:formatCode>
                <c:ptCount val="40"/>
                <c:pt idx="0">
                  <c:v>396648</c:v>
                </c:pt>
                <c:pt idx="1">
                  <c:v>550657</c:v>
                </c:pt>
                <c:pt idx="2">
                  <c:v>421810</c:v>
                </c:pt>
                <c:pt idx="3">
                  <c:v>251953</c:v>
                </c:pt>
                <c:pt idx="4">
                  <c:v>236660</c:v>
                </c:pt>
                <c:pt idx="5">
                  <c:v>229564</c:v>
                </c:pt>
                <c:pt idx="6">
                  <c:v>279208</c:v>
                </c:pt>
                <c:pt idx="7">
                  <c:v>286829</c:v>
                </c:pt>
                <c:pt idx="8">
                  <c:v>325853</c:v>
                </c:pt>
                <c:pt idx="9">
                  <c:v>294248</c:v>
                </c:pt>
                <c:pt idx="10">
                  <c:v>215433</c:v>
                </c:pt>
                <c:pt idx="11">
                  <c:v>275726</c:v>
                </c:pt>
                <c:pt idx="12">
                  <c:v>309125</c:v>
                </c:pt>
                <c:pt idx="13">
                  <c:v>350808</c:v>
                </c:pt>
                <c:pt idx="14">
                  <c:v>348128</c:v>
                </c:pt>
                <c:pt idx="15">
                  <c:v>303221</c:v>
                </c:pt>
                <c:pt idx="16">
                  <c:v>330604</c:v>
                </c:pt>
                <c:pt idx="17" formatCode="#,##0">
                  <c:v>520539</c:v>
                </c:pt>
                <c:pt idx="18">
                  <c:v>662100</c:v>
                </c:pt>
                <c:pt idx="19">
                  <c:v>381372</c:v>
                </c:pt>
                <c:pt idx="20">
                  <c:v>557404</c:v>
                </c:pt>
                <c:pt idx="21">
                  <c:v>339660</c:v>
                </c:pt>
                <c:pt idx="22">
                  <c:v>373926</c:v>
                </c:pt>
                <c:pt idx="23" formatCode="#,##0">
                  <c:v>265635</c:v>
                </c:pt>
                <c:pt idx="24" formatCode="#,##0">
                  <c:v>313205</c:v>
                </c:pt>
                <c:pt idx="25" formatCode="#,##0">
                  <c:v>321446</c:v>
                </c:pt>
                <c:pt idx="26" formatCode="#,##0">
                  <c:v>753761</c:v>
                </c:pt>
                <c:pt idx="27" formatCode="#,##0">
                  <c:v>968739</c:v>
                </c:pt>
                <c:pt idx="28" formatCode="#,##0">
                  <c:v>791343</c:v>
                </c:pt>
                <c:pt idx="29" formatCode="#,##0">
                  <c:v>1578698</c:v>
                </c:pt>
                <c:pt idx="30" formatCode="#,##0">
                  <c:v>784690</c:v>
                </c:pt>
                <c:pt idx="31" formatCode="#,##0">
                  <c:v>646031</c:v>
                </c:pt>
                <c:pt idx="32" formatCode="#,##0">
                  <c:v>612107</c:v>
                </c:pt>
                <c:pt idx="33" formatCode="#,##0">
                  <c:v>754300</c:v>
                </c:pt>
                <c:pt idx="34" formatCode="#,##0">
                  <c:v>760877</c:v>
                </c:pt>
                <c:pt idx="35" formatCode="#,##0">
                  <c:v>820229</c:v>
                </c:pt>
                <c:pt idx="36" formatCode="#,##0">
                  <c:v>802421</c:v>
                </c:pt>
                <c:pt idx="37" formatCode="#,##0">
                  <c:v>657590</c:v>
                </c:pt>
                <c:pt idx="38" formatCode="#,##0">
                  <c:v>785895</c:v>
                </c:pt>
                <c:pt idx="39" formatCode="#,##0">
                  <c:v>3904639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6-48F5-AB77-96A9EF727B29}"/>
            </c:ext>
          </c:extLst>
        </c:ser>
        <c:ser>
          <c:idx val="4"/>
          <c:order val="4"/>
          <c:tx>
            <c:strRef>
              <c:f>歳入の内訳!$N$2</c:f>
              <c:strCache>
                <c:ptCount val="1"/>
                <c:pt idx="0">
                  <c:v>地方債</c:v>
                </c:pt>
              </c:strCache>
            </c:strRef>
          </c:tx>
          <c:invertIfNegative val="0"/>
          <c:val>
            <c:numRef>
              <c:f>歳入の内訳!$N$21:$N$60</c:f>
              <c:numCache>
                <c:formatCode>#,##0;"△"#,##0</c:formatCode>
                <c:ptCount val="40"/>
                <c:pt idx="0">
                  <c:v>274200</c:v>
                </c:pt>
                <c:pt idx="1">
                  <c:v>726800</c:v>
                </c:pt>
                <c:pt idx="2">
                  <c:v>0</c:v>
                </c:pt>
                <c:pt idx="3">
                  <c:v>0</c:v>
                </c:pt>
                <c:pt idx="4">
                  <c:v>231000</c:v>
                </c:pt>
                <c:pt idx="5">
                  <c:v>311400</c:v>
                </c:pt>
                <c:pt idx="6">
                  <c:v>457000</c:v>
                </c:pt>
                <c:pt idx="7">
                  <c:v>318700</c:v>
                </c:pt>
                <c:pt idx="8">
                  <c:v>633100</c:v>
                </c:pt>
                <c:pt idx="9">
                  <c:v>1089700</c:v>
                </c:pt>
                <c:pt idx="10">
                  <c:v>944800</c:v>
                </c:pt>
                <c:pt idx="11">
                  <c:v>1044100</c:v>
                </c:pt>
                <c:pt idx="12">
                  <c:v>612800</c:v>
                </c:pt>
                <c:pt idx="13">
                  <c:v>891700</c:v>
                </c:pt>
                <c:pt idx="14">
                  <c:v>1436100</c:v>
                </c:pt>
                <c:pt idx="15">
                  <c:v>1712200</c:v>
                </c:pt>
                <c:pt idx="16">
                  <c:v>871200</c:v>
                </c:pt>
                <c:pt idx="17">
                  <c:v>865800</c:v>
                </c:pt>
                <c:pt idx="18">
                  <c:v>673600</c:v>
                </c:pt>
                <c:pt idx="19">
                  <c:v>864700</c:v>
                </c:pt>
                <c:pt idx="20">
                  <c:v>1263900</c:v>
                </c:pt>
                <c:pt idx="21">
                  <c:v>1069800</c:v>
                </c:pt>
                <c:pt idx="22">
                  <c:v>975300</c:v>
                </c:pt>
                <c:pt idx="23" formatCode="#,##0">
                  <c:v>941900</c:v>
                </c:pt>
                <c:pt idx="24" formatCode="#,##0">
                  <c:v>651400</c:v>
                </c:pt>
                <c:pt idx="25" formatCode="#,##0">
                  <c:v>545200</c:v>
                </c:pt>
                <c:pt idx="26" formatCode="#,##0">
                  <c:v>727000</c:v>
                </c:pt>
                <c:pt idx="27" formatCode="#,##0">
                  <c:v>361700</c:v>
                </c:pt>
                <c:pt idx="28" formatCode="#,##0">
                  <c:v>622100</c:v>
                </c:pt>
                <c:pt idx="29" formatCode="#,##0">
                  <c:v>857500</c:v>
                </c:pt>
                <c:pt idx="30" formatCode="#,##0">
                  <c:v>663100</c:v>
                </c:pt>
                <c:pt idx="31" formatCode="#,##0">
                  <c:v>996700</c:v>
                </c:pt>
                <c:pt idx="32" formatCode="#,##0">
                  <c:v>923200</c:v>
                </c:pt>
                <c:pt idx="33" formatCode="#,##0">
                  <c:v>1515800</c:v>
                </c:pt>
                <c:pt idx="34" formatCode="#,##0">
                  <c:v>780400</c:v>
                </c:pt>
                <c:pt idx="35" formatCode="#,##0">
                  <c:v>657200</c:v>
                </c:pt>
                <c:pt idx="36" formatCode="#,##0">
                  <c:v>1305300</c:v>
                </c:pt>
                <c:pt idx="37" formatCode="#,##0">
                  <c:v>712800</c:v>
                </c:pt>
                <c:pt idx="38" formatCode="#,##0">
                  <c:v>831400</c:v>
                </c:pt>
                <c:pt idx="39" formatCode="#,##0">
                  <c:v>1128000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86-48F5-AB77-96A9EF727B29}"/>
            </c:ext>
          </c:extLst>
        </c:ser>
        <c:ser>
          <c:idx val="5"/>
          <c:order val="5"/>
          <c:tx>
            <c:strRef>
              <c:f>歳入の内訳!$O$2</c:f>
              <c:strCache>
                <c:ptCount val="1"/>
                <c:pt idx="0">
                  <c:v>繰入金</c:v>
                </c:pt>
              </c:strCache>
            </c:strRef>
          </c:tx>
          <c:invertIfNegative val="0"/>
          <c:val>
            <c:numRef>
              <c:f>歳入の内訳!$O$21:$O$60</c:f>
              <c:numCache>
                <c:formatCode>#,##0;"△"#,##0</c:formatCode>
                <c:ptCount val="40"/>
                <c:pt idx="0">
                  <c:v>21367</c:v>
                </c:pt>
                <c:pt idx="1">
                  <c:v>126796</c:v>
                </c:pt>
                <c:pt idx="2">
                  <c:v>271657</c:v>
                </c:pt>
                <c:pt idx="3">
                  <c:v>222899</c:v>
                </c:pt>
                <c:pt idx="4">
                  <c:v>24728</c:v>
                </c:pt>
                <c:pt idx="5">
                  <c:v>175036</c:v>
                </c:pt>
                <c:pt idx="6">
                  <c:v>44969</c:v>
                </c:pt>
                <c:pt idx="7">
                  <c:v>82226</c:v>
                </c:pt>
                <c:pt idx="8">
                  <c:v>160278</c:v>
                </c:pt>
                <c:pt idx="9">
                  <c:v>461066</c:v>
                </c:pt>
                <c:pt idx="10">
                  <c:v>445337</c:v>
                </c:pt>
                <c:pt idx="11">
                  <c:v>326449</c:v>
                </c:pt>
                <c:pt idx="12">
                  <c:v>326148</c:v>
                </c:pt>
                <c:pt idx="13">
                  <c:v>524070</c:v>
                </c:pt>
                <c:pt idx="14">
                  <c:v>644679</c:v>
                </c:pt>
                <c:pt idx="15">
                  <c:v>758420</c:v>
                </c:pt>
                <c:pt idx="16">
                  <c:v>595151</c:v>
                </c:pt>
                <c:pt idx="17" formatCode="#,##0">
                  <c:v>678681</c:v>
                </c:pt>
                <c:pt idx="18">
                  <c:v>864866</c:v>
                </c:pt>
                <c:pt idx="19">
                  <c:v>517981</c:v>
                </c:pt>
                <c:pt idx="20">
                  <c:v>608501</c:v>
                </c:pt>
                <c:pt idx="21">
                  <c:v>933252</c:v>
                </c:pt>
                <c:pt idx="22">
                  <c:v>496454</c:v>
                </c:pt>
                <c:pt idx="23" formatCode="#,##0">
                  <c:v>580290</c:v>
                </c:pt>
                <c:pt idx="24" formatCode="#,##0">
                  <c:v>414569</c:v>
                </c:pt>
                <c:pt idx="25" formatCode="#,##0">
                  <c:v>395980</c:v>
                </c:pt>
                <c:pt idx="26" formatCode="#,##0">
                  <c:v>18930</c:v>
                </c:pt>
                <c:pt idx="27" formatCode="#,##0">
                  <c:v>25417</c:v>
                </c:pt>
                <c:pt idx="28" formatCode="#,##0">
                  <c:v>138614</c:v>
                </c:pt>
                <c:pt idx="29" formatCode="#,##0">
                  <c:v>102425</c:v>
                </c:pt>
                <c:pt idx="30" formatCode="#,##0">
                  <c:v>61129</c:v>
                </c:pt>
                <c:pt idx="31" formatCode="#,##0">
                  <c:v>20506</c:v>
                </c:pt>
                <c:pt idx="32" formatCode="#,##0">
                  <c:v>118870</c:v>
                </c:pt>
                <c:pt idx="33" formatCode="#,##0">
                  <c:v>22533</c:v>
                </c:pt>
                <c:pt idx="34" formatCode="#,##0">
                  <c:v>24166</c:v>
                </c:pt>
                <c:pt idx="35" formatCode="#,##0">
                  <c:v>39360</c:v>
                </c:pt>
                <c:pt idx="36" formatCode="#,##0">
                  <c:v>252926</c:v>
                </c:pt>
                <c:pt idx="37" formatCode="#,##0">
                  <c:v>89057</c:v>
                </c:pt>
                <c:pt idx="38" formatCode="#,##0">
                  <c:v>70600</c:v>
                </c:pt>
                <c:pt idx="39" formatCode="#,##0">
                  <c:v>68021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86-48F5-AB77-96A9EF727B29}"/>
            </c:ext>
          </c:extLst>
        </c:ser>
        <c:ser>
          <c:idx val="6"/>
          <c:order val="6"/>
          <c:tx>
            <c:strRef>
              <c:f>歳入の内訳!$P$2</c:f>
              <c:strCache>
                <c:ptCount val="1"/>
                <c:pt idx="0">
                  <c:v>繰越金</c:v>
                </c:pt>
              </c:strCache>
            </c:strRef>
          </c:tx>
          <c:invertIfNegative val="0"/>
          <c:val>
            <c:numRef>
              <c:f>歳入の内訳!$P$21:$P$60</c:f>
              <c:numCache>
                <c:formatCode>#,##0;"△"#,##0</c:formatCode>
                <c:ptCount val="40"/>
                <c:pt idx="0">
                  <c:v>36359</c:v>
                </c:pt>
                <c:pt idx="1">
                  <c:v>56970</c:v>
                </c:pt>
                <c:pt idx="2">
                  <c:v>105868</c:v>
                </c:pt>
                <c:pt idx="3">
                  <c:v>55263</c:v>
                </c:pt>
                <c:pt idx="4">
                  <c:v>126790</c:v>
                </c:pt>
                <c:pt idx="5">
                  <c:v>121110</c:v>
                </c:pt>
                <c:pt idx="6">
                  <c:v>167730</c:v>
                </c:pt>
                <c:pt idx="7">
                  <c:v>145705</c:v>
                </c:pt>
                <c:pt idx="8">
                  <c:v>124286</c:v>
                </c:pt>
                <c:pt idx="9">
                  <c:v>203532</c:v>
                </c:pt>
                <c:pt idx="10">
                  <c:v>165211</c:v>
                </c:pt>
                <c:pt idx="11">
                  <c:v>198427</c:v>
                </c:pt>
                <c:pt idx="12">
                  <c:v>245028</c:v>
                </c:pt>
                <c:pt idx="13">
                  <c:v>256179</c:v>
                </c:pt>
                <c:pt idx="14">
                  <c:v>264052</c:v>
                </c:pt>
                <c:pt idx="15">
                  <c:v>396080</c:v>
                </c:pt>
                <c:pt idx="16">
                  <c:v>365064</c:v>
                </c:pt>
                <c:pt idx="17">
                  <c:v>330319</c:v>
                </c:pt>
                <c:pt idx="18">
                  <c:v>626967</c:v>
                </c:pt>
                <c:pt idx="19">
                  <c:v>628063</c:v>
                </c:pt>
                <c:pt idx="20">
                  <c:v>372357</c:v>
                </c:pt>
                <c:pt idx="21">
                  <c:v>353817</c:v>
                </c:pt>
                <c:pt idx="22">
                  <c:v>493802</c:v>
                </c:pt>
                <c:pt idx="23" formatCode="#,##0">
                  <c:v>474249</c:v>
                </c:pt>
                <c:pt idx="24" formatCode="#,##0">
                  <c:v>435918</c:v>
                </c:pt>
                <c:pt idx="25" formatCode="#,##0">
                  <c:v>591531</c:v>
                </c:pt>
                <c:pt idx="26" formatCode="#,##0">
                  <c:v>460066</c:v>
                </c:pt>
                <c:pt idx="27" formatCode="#,##0">
                  <c:v>316357</c:v>
                </c:pt>
                <c:pt idx="28" formatCode="#,##0">
                  <c:v>536343</c:v>
                </c:pt>
                <c:pt idx="29" formatCode="#,##0">
                  <c:v>516406</c:v>
                </c:pt>
                <c:pt idx="30" formatCode="#,##0">
                  <c:v>504390</c:v>
                </c:pt>
                <c:pt idx="31" formatCode="#,##0">
                  <c:v>437776</c:v>
                </c:pt>
                <c:pt idx="32" formatCode="#,##0">
                  <c:v>458376</c:v>
                </c:pt>
                <c:pt idx="33" formatCode="#,##0">
                  <c:v>522588</c:v>
                </c:pt>
                <c:pt idx="34" formatCode="#,##0">
                  <c:v>429577</c:v>
                </c:pt>
                <c:pt idx="35" formatCode="#,##0">
                  <c:v>598894</c:v>
                </c:pt>
                <c:pt idx="36" formatCode="#,##0">
                  <c:v>537509</c:v>
                </c:pt>
                <c:pt idx="37" formatCode="#,##0">
                  <c:v>598804</c:v>
                </c:pt>
                <c:pt idx="38" formatCode="#,##0">
                  <c:v>649197</c:v>
                </c:pt>
                <c:pt idx="39" formatCode="#,##0">
                  <c:v>664656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86-48F5-AB77-96A9EF727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547136"/>
        <c:axId val="111548672"/>
      </c:barChart>
      <c:lineChart>
        <c:grouping val="standard"/>
        <c:varyColors val="0"/>
        <c:ser>
          <c:idx val="17"/>
          <c:order val="0"/>
          <c:tx>
            <c:strRef>
              <c:f>歳入の内訳!$R$2</c:f>
              <c:strCache>
                <c:ptCount val="1"/>
                <c:pt idx="0">
                  <c:v>歳入総額</c:v>
                </c:pt>
              </c:strCache>
            </c:strRef>
          </c:tx>
          <c:cat>
            <c:strRef>
              <c:f>歳入の内訳!$B$21:$B$60</c:f>
              <c:strCache>
                <c:ptCount val="40"/>
                <c:pt idx="0">
                  <c:v>昭和56年度</c:v>
                </c:pt>
                <c:pt idx="1">
                  <c:v>昭和57年度</c:v>
                </c:pt>
                <c:pt idx="2">
                  <c:v>昭和58年度</c:v>
                </c:pt>
                <c:pt idx="3">
                  <c:v>昭和59年度</c:v>
                </c:pt>
                <c:pt idx="4">
                  <c:v>昭和60年度</c:v>
                </c:pt>
                <c:pt idx="5">
                  <c:v>昭和61年度</c:v>
                </c:pt>
                <c:pt idx="6">
                  <c:v>昭和62年度</c:v>
                </c:pt>
                <c:pt idx="7">
                  <c:v>昭和63年度</c:v>
                </c:pt>
                <c:pt idx="8">
                  <c:v>平成元年度</c:v>
                </c:pt>
                <c:pt idx="9">
                  <c:v>平成２年度</c:v>
                </c:pt>
                <c:pt idx="10">
                  <c:v>平成３年度</c:v>
                </c:pt>
                <c:pt idx="11">
                  <c:v>平成４年度</c:v>
                </c:pt>
                <c:pt idx="12">
                  <c:v>平成５年度</c:v>
                </c:pt>
                <c:pt idx="13">
                  <c:v>平成６年度</c:v>
                </c:pt>
                <c:pt idx="14">
                  <c:v>平成７年度</c:v>
                </c:pt>
                <c:pt idx="15">
                  <c:v>平成８年度</c:v>
                </c:pt>
                <c:pt idx="16">
                  <c:v>平成９年度</c:v>
                </c:pt>
                <c:pt idx="17">
                  <c:v>平成10年度</c:v>
                </c:pt>
                <c:pt idx="18">
                  <c:v>平成11年度</c:v>
                </c:pt>
                <c:pt idx="19">
                  <c:v>平成12年度</c:v>
                </c:pt>
                <c:pt idx="20">
                  <c:v>平成13年度</c:v>
                </c:pt>
                <c:pt idx="21">
                  <c:v>平成14年度</c:v>
                </c:pt>
                <c:pt idx="22">
                  <c:v>平成15年度</c:v>
                </c:pt>
                <c:pt idx="23">
                  <c:v>平成16年度</c:v>
                </c:pt>
                <c:pt idx="24">
                  <c:v>平成17年度</c:v>
                </c:pt>
                <c:pt idx="25">
                  <c:v>平成18年度</c:v>
                </c:pt>
                <c:pt idx="26">
                  <c:v>平成19年度</c:v>
                </c:pt>
                <c:pt idx="27">
                  <c:v>平成20年度</c:v>
                </c:pt>
                <c:pt idx="28">
                  <c:v>平成21年度</c:v>
                </c:pt>
                <c:pt idx="29">
                  <c:v>平成22年度</c:v>
                </c:pt>
                <c:pt idx="30">
                  <c:v>平成23年度</c:v>
                </c:pt>
                <c:pt idx="31">
                  <c:v>平成24年度</c:v>
                </c:pt>
                <c:pt idx="32">
                  <c:v>平成25年度</c:v>
                </c:pt>
                <c:pt idx="33">
                  <c:v>平成26年度</c:v>
                </c:pt>
                <c:pt idx="34">
                  <c:v>平成27年度</c:v>
                </c:pt>
                <c:pt idx="35">
                  <c:v>平成28年度</c:v>
                </c:pt>
                <c:pt idx="36">
                  <c:v>平成29年度</c:v>
                </c:pt>
                <c:pt idx="37">
                  <c:v>平成30年度</c:v>
                </c:pt>
                <c:pt idx="38">
                  <c:v>令和元年度</c:v>
                </c:pt>
                <c:pt idx="39">
                  <c:v>令和２年度</c:v>
                </c:pt>
              </c:strCache>
            </c:strRef>
          </c:cat>
          <c:val>
            <c:numRef>
              <c:f>歳入の内訳!$R$21:$R$60</c:f>
              <c:numCache>
                <c:formatCode>#,##0;"△"#,##0</c:formatCode>
                <c:ptCount val="40"/>
                <c:pt idx="0">
                  <c:v>3609291</c:v>
                </c:pt>
                <c:pt idx="1">
                  <c:v>4536193</c:v>
                </c:pt>
                <c:pt idx="2">
                  <c:v>4097285</c:v>
                </c:pt>
                <c:pt idx="3">
                  <c:v>3793512</c:v>
                </c:pt>
                <c:pt idx="4">
                  <c:v>4059029</c:v>
                </c:pt>
                <c:pt idx="5">
                  <c:v>4464988</c:v>
                </c:pt>
                <c:pt idx="6">
                  <c:v>4829682</c:v>
                </c:pt>
                <c:pt idx="7">
                  <c:v>5042837</c:v>
                </c:pt>
                <c:pt idx="8">
                  <c:v>5831220</c:v>
                </c:pt>
                <c:pt idx="9">
                  <c:v>6803919</c:v>
                </c:pt>
                <c:pt idx="10">
                  <c:v>7121221</c:v>
                </c:pt>
                <c:pt idx="11">
                  <c:v>7717769</c:v>
                </c:pt>
                <c:pt idx="12">
                  <c:v>6926561</c:v>
                </c:pt>
                <c:pt idx="13">
                  <c:v>7739348</c:v>
                </c:pt>
                <c:pt idx="14">
                  <c:v>9127521</c:v>
                </c:pt>
                <c:pt idx="15">
                  <c:v>9625637</c:v>
                </c:pt>
                <c:pt idx="16">
                  <c:v>8715877</c:v>
                </c:pt>
                <c:pt idx="17">
                  <c:v>9862976</c:v>
                </c:pt>
                <c:pt idx="18">
                  <c:v>10394580</c:v>
                </c:pt>
                <c:pt idx="19">
                  <c:v>9768958</c:v>
                </c:pt>
                <c:pt idx="20">
                  <c:v>10060874</c:v>
                </c:pt>
                <c:pt idx="21">
                  <c:v>9216838</c:v>
                </c:pt>
                <c:pt idx="22">
                  <c:v>9430864</c:v>
                </c:pt>
                <c:pt idx="23">
                  <c:v>9477560</c:v>
                </c:pt>
                <c:pt idx="24">
                  <c:v>8860007</c:v>
                </c:pt>
                <c:pt idx="25">
                  <c:v>8884601</c:v>
                </c:pt>
                <c:pt idx="26">
                  <c:v>9331509</c:v>
                </c:pt>
                <c:pt idx="27">
                  <c:v>8882752</c:v>
                </c:pt>
                <c:pt idx="28">
                  <c:v>8917456</c:v>
                </c:pt>
                <c:pt idx="29">
                  <c:v>10124770</c:v>
                </c:pt>
                <c:pt idx="30">
                  <c:v>9259401</c:v>
                </c:pt>
                <c:pt idx="31">
                  <c:v>9192835</c:v>
                </c:pt>
                <c:pt idx="32">
                  <c:v>9063773</c:v>
                </c:pt>
                <c:pt idx="33">
                  <c:v>10180496</c:v>
                </c:pt>
                <c:pt idx="34">
                  <c:v>9423690</c:v>
                </c:pt>
                <c:pt idx="35">
                  <c:v>9536591</c:v>
                </c:pt>
                <c:pt idx="36">
                  <c:v>10308309</c:v>
                </c:pt>
                <c:pt idx="37">
                  <c:v>9678104</c:v>
                </c:pt>
                <c:pt idx="38">
                  <c:v>9960220</c:v>
                </c:pt>
                <c:pt idx="39">
                  <c:v>13685009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86-48F5-AB77-96A9EF727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47136"/>
        <c:axId val="111548672"/>
      </c:lineChart>
      <c:catAx>
        <c:axId val="11154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548672"/>
        <c:crosses val="autoZero"/>
        <c:auto val="1"/>
        <c:lblAlgn val="ctr"/>
        <c:lblOffset val="100"/>
        <c:noMultiLvlLbl val="0"/>
      </c:catAx>
      <c:valAx>
        <c:axId val="111548672"/>
        <c:scaling>
          <c:orientation val="minMax"/>
        </c:scaling>
        <c:delete val="0"/>
        <c:axPos val="l"/>
        <c:majorGridlines/>
        <c:numFmt formatCode="#,##0;&quot;△&quot;#,##0" sourceLinked="1"/>
        <c:majorTickMark val="out"/>
        <c:minorTickMark val="none"/>
        <c:tickLblPos val="nextTo"/>
        <c:crossAx val="111547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町税の内訳!$M$2</c:f>
              <c:strCache>
                <c:ptCount val="1"/>
                <c:pt idx="0">
                  <c:v> 町税合計</c:v>
                </c:pt>
              </c:strCache>
            </c:strRef>
          </c:tx>
          <c:cat>
            <c:strRef>
              <c:f>町税の内訳!$B$22:$B$60</c:f>
              <c:strCache>
                <c:ptCount val="39"/>
                <c:pt idx="0">
                  <c:v>昭和57年度</c:v>
                </c:pt>
                <c:pt idx="1">
                  <c:v>昭和58年度</c:v>
                </c:pt>
                <c:pt idx="2">
                  <c:v>昭和59年度</c:v>
                </c:pt>
                <c:pt idx="3">
                  <c:v>昭和60年度</c:v>
                </c:pt>
                <c:pt idx="4">
                  <c:v>昭和61年度</c:v>
                </c:pt>
                <c:pt idx="5">
                  <c:v>昭和62年度</c:v>
                </c:pt>
                <c:pt idx="6">
                  <c:v>昭和63年度</c:v>
                </c:pt>
                <c:pt idx="7">
                  <c:v>平成元年度</c:v>
                </c:pt>
                <c:pt idx="8">
                  <c:v>平成２年度</c:v>
                </c:pt>
                <c:pt idx="9">
                  <c:v>平成３年度</c:v>
                </c:pt>
                <c:pt idx="10">
                  <c:v>平成４年度</c:v>
                </c:pt>
                <c:pt idx="11">
                  <c:v>平成５年度</c:v>
                </c:pt>
                <c:pt idx="12">
                  <c:v>平成６年度</c:v>
                </c:pt>
                <c:pt idx="13">
                  <c:v>平成７年度</c:v>
                </c:pt>
                <c:pt idx="14">
                  <c:v>平成８年度</c:v>
                </c:pt>
                <c:pt idx="15">
                  <c:v>平成９年度</c:v>
                </c:pt>
                <c:pt idx="16">
                  <c:v>平成10年度</c:v>
                </c:pt>
                <c:pt idx="17">
                  <c:v>平成11年度</c:v>
                </c:pt>
                <c:pt idx="18">
                  <c:v>平成12年度</c:v>
                </c:pt>
                <c:pt idx="19">
                  <c:v>平成13年度</c:v>
                </c:pt>
                <c:pt idx="20">
                  <c:v>平成14年度</c:v>
                </c:pt>
                <c:pt idx="21">
                  <c:v>平成15年度</c:v>
                </c:pt>
                <c:pt idx="22">
                  <c:v>平成16年度</c:v>
                </c:pt>
                <c:pt idx="23">
                  <c:v>平成17年度</c:v>
                </c:pt>
                <c:pt idx="24">
                  <c:v>平成18年度</c:v>
                </c:pt>
                <c:pt idx="25">
                  <c:v>平成19年度</c:v>
                </c:pt>
                <c:pt idx="26">
                  <c:v>平成20年度</c:v>
                </c:pt>
                <c:pt idx="27">
                  <c:v>平成21年度</c:v>
                </c:pt>
                <c:pt idx="28">
                  <c:v>平成22年度</c:v>
                </c:pt>
                <c:pt idx="29">
                  <c:v>平成23年度</c:v>
                </c:pt>
                <c:pt idx="30">
                  <c:v>平成24年度</c:v>
                </c:pt>
                <c:pt idx="31">
                  <c:v>平成25年度</c:v>
                </c:pt>
                <c:pt idx="32">
                  <c:v>平成26年度</c:v>
                </c:pt>
                <c:pt idx="33">
                  <c:v>平成27年度</c:v>
                </c:pt>
                <c:pt idx="34">
                  <c:v>平成28年度</c:v>
                </c:pt>
                <c:pt idx="35">
                  <c:v>平成29年度</c:v>
                </c:pt>
                <c:pt idx="36">
                  <c:v>平成30年度</c:v>
                </c:pt>
                <c:pt idx="37">
                  <c:v>令和元年度</c:v>
                </c:pt>
                <c:pt idx="38">
                  <c:v>令和２年度</c:v>
                </c:pt>
              </c:strCache>
            </c:strRef>
          </c:cat>
          <c:val>
            <c:numRef>
              <c:f>町税の内訳!$M$21:$M$60</c:f>
              <c:numCache>
                <c:formatCode>#,##0;"△"#,##0</c:formatCode>
                <c:ptCount val="40"/>
                <c:pt idx="0">
                  <c:v>1166624</c:v>
                </c:pt>
                <c:pt idx="1">
                  <c:v>1304428</c:v>
                </c:pt>
                <c:pt idx="2">
                  <c:v>1465888</c:v>
                </c:pt>
                <c:pt idx="3">
                  <c:v>1684727</c:v>
                </c:pt>
                <c:pt idx="4">
                  <c:v>1891939</c:v>
                </c:pt>
                <c:pt idx="5">
                  <c:v>1990756</c:v>
                </c:pt>
                <c:pt idx="6">
                  <c:v>2010501</c:v>
                </c:pt>
                <c:pt idx="7">
                  <c:v>2183948</c:v>
                </c:pt>
                <c:pt idx="8">
                  <c:v>2313485</c:v>
                </c:pt>
                <c:pt idx="9">
                  <c:v>2464456</c:v>
                </c:pt>
                <c:pt idx="10">
                  <c:v>2650777</c:v>
                </c:pt>
                <c:pt idx="11">
                  <c:v>2715045</c:v>
                </c:pt>
                <c:pt idx="12">
                  <c:v>2772161</c:v>
                </c:pt>
                <c:pt idx="13">
                  <c:v>2672395</c:v>
                </c:pt>
                <c:pt idx="14">
                  <c:v>2903137</c:v>
                </c:pt>
                <c:pt idx="15">
                  <c:v>3097234</c:v>
                </c:pt>
                <c:pt idx="16">
                  <c:v>3200814</c:v>
                </c:pt>
                <c:pt idx="17">
                  <c:v>3726138</c:v>
                </c:pt>
                <c:pt idx="18">
                  <c:v>3305652</c:v>
                </c:pt>
                <c:pt idx="19">
                  <c:v>3511634</c:v>
                </c:pt>
                <c:pt idx="20">
                  <c:v>3646866</c:v>
                </c:pt>
                <c:pt idx="21">
                  <c:v>3055187</c:v>
                </c:pt>
                <c:pt idx="22">
                  <c:v>2952516</c:v>
                </c:pt>
                <c:pt idx="23">
                  <c:v>3093429</c:v>
                </c:pt>
                <c:pt idx="24">
                  <c:v>3168589</c:v>
                </c:pt>
                <c:pt idx="25">
                  <c:v>3350647</c:v>
                </c:pt>
                <c:pt idx="26">
                  <c:v>3736281</c:v>
                </c:pt>
                <c:pt idx="27">
                  <c:v>3835070</c:v>
                </c:pt>
                <c:pt idx="28">
                  <c:v>3489213</c:v>
                </c:pt>
                <c:pt idx="29">
                  <c:v>3235938</c:v>
                </c:pt>
                <c:pt idx="30">
                  <c:v>3338163</c:v>
                </c:pt>
                <c:pt idx="31">
                  <c:v>3344251</c:v>
                </c:pt>
                <c:pt idx="32">
                  <c:v>3276443</c:v>
                </c:pt>
                <c:pt idx="33">
                  <c:v>3510604</c:v>
                </c:pt>
                <c:pt idx="34">
                  <c:v>3373998</c:v>
                </c:pt>
                <c:pt idx="35">
                  <c:v>3381829</c:v>
                </c:pt>
                <c:pt idx="36">
                  <c:v>3412468</c:v>
                </c:pt>
                <c:pt idx="37">
                  <c:v>3491654</c:v>
                </c:pt>
                <c:pt idx="38">
                  <c:v>3487546</c:v>
                </c:pt>
                <c:pt idx="39">
                  <c:v>3417483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24-4FE7-9495-58624DACC51C}"/>
            </c:ext>
          </c:extLst>
        </c:ser>
        <c:ser>
          <c:idx val="1"/>
          <c:order val="1"/>
          <c:tx>
            <c:strRef>
              <c:f>町税の内訳!$F$2</c:f>
              <c:strCache>
                <c:ptCount val="1"/>
                <c:pt idx="0">
                  <c:v>固定資産税</c:v>
                </c:pt>
              </c:strCache>
            </c:strRef>
          </c:tx>
          <c:cat>
            <c:strRef>
              <c:f>町税の内訳!$B$22:$B$60</c:f>
              <c:strCache>
                <c:ptCount val="39"/>
                <c:pt idx="0">
                  <c:v>昭和57年度</c:v>
                </c:pt>
                <c:pt idx="1">
                  <c:v>昭和58年度</c:v>
                </c:pt>
                <c:pt idx="2">
                  <c:v>昭和59年度</c:v>
                </c:pt>
                <c:pt idx="3">
                  <c:v>昭和60年度</c:v>
                </c:pt>
                <c:pt idx="4">
                  <c:v>昭和61年度</c:v>
                </c:pt>
                <c:pt idx="5">
                  <c:v>昭和62年度</c:v>
                </c:pt>
                <c:pt idx="6">
                  <c:v>昭和63年度</c:v>
                </c:pt>
                <c:pt idx="7">
                  <c:v>平成元年度</c:v>
                </c:pt>
                <c:pt idx="8">
                  <c:v>平成２年度</c:v>
                </c:pt>
                <c:pt idx="9">
                  <c:v>平成３年度</c:v>
                </c:pt>
                <c:pt idx="10">
                  <c:v>平成４年度</c:v>
                </c:pt>
                <c:pt idx="11">
                  <c:v>平成５年度</c:v>
                </c:pt>
                <c:pt idx="12">
                  <c:v>平成６年度</c:v>
                </c:pt>
                <c:pt idx="13">
                  <c:v>平成７年度</c:v>
                </c:pt>
                <c:pt idx="14">
                  <c:v>平成８年度</c:v>
                </c:pt>
                <c:pt idx="15">
                  <c:v>平成９年度</c:v>
                </c:pt>
                <c:pt idx="16">
                  <c:v>平成10年度</c:v>
                </c:pt>
                <c:pt idx="17">
                  <c:v>平成11年度</c:v>
                </c:pt>
                <c:pt idx="18">
                  <c:v>平成12年度</c:v>
                </c:pt>
                <c:pt idx="19">
                  <c:v>平成13年度</c:v>
                </c:pt>
                <c:pt idx="20">
                  <c:v>平成14年度</c:v>
                </c:pt>
                <c:pt idx="21">
                  <c:v>平成15年度</c:v>
                </c:pt>
                <c:pt idx="22">
                  <c:v>平成16年度</c:v>
                </c:pt>
                <c:pt idx="23">
                  <c:v>平成17年度</c:v>
                </c:pt>
                <c:pt idx="24">
                  <c:v>平成18年度</c:v>
                </c:pt>
                <c:pt idx="25">
                  <c:v>平成19年度</c:v>
                </c:pt>
                <c:pt idx="26">
                  <c:v>平成20年度</c:v>
                </c:pt>
                <c:pt idx="27">
                  <c:v>平成21年度</c:v>
                </c:pt>
                <c:pt idx="28">
                  <c:v>平成22年度</c:v>
                </c:pt>
                <c:pt idx="29">
                  <c:v>平成23年度</c:v>
                </c:pt>
                <c:pt idx="30">
                  <c:v>平成24年度</c:v>
                </c:pt>
                <c:pt idx="31">
                  <c:v>平成25年度</c:v>
                </c:pt>
                <c:pt idx="32">
                  <c:v>平成26年度</c:v>
                </c:pt>
                <c:pt idx="33">
                  <c:v>平成27年度</c:v>
                </c:pt>
                <c:pt idx="34">
                  <c:v>平成28年度</c:v>
                </c:pt>
                <c:pt idx="35">
                  <c:v>平成29年度</c:v>
                </c:pt>
                <c:pt idx="36">
                  <c:v>平成30年度</c:v>
                </c:pt>
                <c:pt idx="37">
                  <c:v>令和元年度</c:v>
                </c:pt>
                <c:pt idx="38">
                  <c:v>令和２年度</c:v>
                </c:pt>
              </c:strCache>
            </c:strRef>
          </c:cat>
          <c:val>
            <c:numRef>
              <c:f>町税の内訳!$F$21:$F$60</c:f>
              <c:numCache>
                <c:formatCode>#,##0;"△"#,##0</c:formatCode>
                <c:ptCount val="40"/>
                <c:pt idx="0">
                  <c:v>381130</c:v>
                </c:pt>
                <c:pt idx="1">
                  <c:v>455912</c:v>
                </c:pt>
                <c:pt idx="2">
                  <c:v>512757</c:v>
                </c:pt>
                <c:pt idx="3">
                  <c:v>570721</c:v>
                </c:pt>
                <c:pt idx="4">
                  <c:v>689982</c:v>
                </c:pt>
                <c:pt idx="5">
                  <c:v>786030</c:v>
                </c:pt>
                <c:pt idx="6">
                  <c:v>841890</c:v>
                </c:pt>
                <c:pt idx="7">
                  <c:v>889121</c:v>
                </c:pt>
                <c:pt idx="8">
                  <c:v>957253</c:v>
                </c:pt>
                <c:pt idx="9">
                  <c:v>1015529</c:v>
                </c:pt>
                <c:pt idx="10">
                  <c:v>1104912</c:v>
                </c:pt>
                <c:pt idx="11">
                  <c:v>1197347</c:v>
                </c:pt>
                <c:pt idx="12">
                  <c:v>1300829</c:v>
                </c:pt>
                <c:pt idx="13">
                  <c:v>1312652</c:v>
                </c:pt>
                <c:pt idx="14">
                  <c:v>1350650</c:v>
                </c:pt>
                <c:pt idx="15" formatCode="#,##0">
                  <c:v>1396381</c:v>
                </c:pt>
                <c:pt idx="16">
                  <c:v>1378485</c:v>
                </c:pt>
                <c:pt idx="17">
                  <c:v>1446729</c:v>
                </c:pt>
                <c:pt idx="18">
                  <c:v>1536687</c:v>
                </c:pt>
                <c:pt idx="19">
                  <c:v>1506191</c:v>
                </c:pt>
                <c:pt idx="20">
                  <c:v>1569859</c:v>
                </c:pt>
                <c:pt idx="21">
                  <c:v>1622816</c:v>
                </c:pt>
                <c:pt idx="22">
                  <c:v>1563907</c:v>
                </c:pt>
                <c:pt idx="23">
                  <c:v>1600146</c:v>
                </c:pt>
                <c:pt idx="24">
                  <c:v>1627970</c:v>
                </c:pt>
                <c:pt idx="25">
                  <c:v>1587064</c:v>
                </c:pt>
                <c:pt idx="26">
                  <c:v>1667459</c:v>
                </c:pt>
                <c:pt idx="27">
                  <c:v>1751137</c:v>
                </c:pt>
                <c:pt idx="28">
                  <c:v>1778863</c:v>
                </c:pt>
                <c:pt idx="29">
                  <c:v>1737049</c:v>
                </c:pt>
                <c:pt idx="30">
                  <c:v>1708347</c:v>
                </c:pt>
                <c:pt idx="31">
                  <c:v>1585278</c:v>
                </c:pt>
                <c:pt idx="32">
                  <c:v>1582113</c:v>
                </c:pt>
                <c:pt idx="33">
                  <c:v>1574426</c:v>
                </c:pt>
                <c:pt idx="34">
                  <c:v>1527446</c:v>
                </c:pt>
                <c:pt idx="35">
                  <c:v>1557145</c:v>
                </c:pt>
                <c:pt idx="36">
                  <c:v>1570495</c:v>
                </c:pt>
                <c:pt idx="37">
                  <c:v>1541553</c:v>
                </c:pt>
                <c:pt idx="38">
                  <c:v>1581177</c:v>
                </c:pt>
                <c:pt idx="39">
                  <c:v>1621719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4-4FE7-9495-58624DACC51C}"/>
            </c:ext>
          </c:extLst>
        </c:ser>
        <c:ser>
          <c:idx val="0"/>
          <c:order val="2"/>
          <c:tx>
            <c:strRef>
              <c:f>町税の内訳!$C$2</c:f>
              <c:strCache>
                <c:ptCount val="1"/>
                <c:pt idx="0">
                  <c:v>個人町民税</c:v>
                </c:pt>
              </c:strCache>
            </c:strRef>
          </c:tx>
          <c:cat>
            <c:strRef>
              <c:f>町税の内訳!$B$22:$B$60</c:f>
              <c:strCache>
                <c:ptCount val="39"/>
                <c:pt idx="0">
                  <c:v>昭和57年度</c:v>
                </c:pt>
                <c:pt idx="1">
                  <c:v>昭和58年度</c:v>
                </c:pt>
                <c:pt idx="2">
                  <c:v>昭和59年度</c:v>
                </c:pt>
                <c:pt idx="3">
                  <c:v>昭和60年度</c:v>
                </c:pt>
                <c:pt idx="4">
                  <c:v>昭和61年度</c:v>
                </c:pt>
                <c:pt idx="5">
                  <c:v>昭和62年度</c:v>
                </c:pt>
                <c:pt idx="6">
                  <c:v>昭和63年度</c:v>
                </c:pt>
                <c:pt idx="7">
                  <c:v>平成元年度</c:v>
                </c:pt>
                <c:pt idx="8">
                  <c:v>平成２年度</c:v>
                </c:pt>
                <c:pt idx="9">
                  <c:v>平成３年度</c:v>
                </c:pt>
                <c:pt idx="10">
                  <c:v>平成４年度</c:v>
                </c:pt>
                <c:pt idx="11">
                  <c:v>平成５年度</c:v>
                </c:pt>
                <c:pt idx="12">
                  <c:v>平成６年度</c:v>
                </c:pt>
                <c:pt idx="13">
                  <c:v>平成７年度</c:v>
                </c:pt>
                <c:pt idx="14">
                  <c:v>平成８年度</c:v>
                </c:pt>
                <c:pt idx="15">
                  <c:v>平成９年度</c:v>
                </c:pt>
                <c:pt idx="16">
                  <c:v>平成10年度</c:v>
                </c:pt>
                <c:pt idx="17">
                  <c:v>平成11年度</c:v>
                </c:pt>
                <c:pt idx="18">
                  <c:v>平成12年度</c:v>
                </c:pt>
                <c:pt idx="19">
                  <c:v>平成13年度</c:v>
                </c:pt>
                <c:pt idx="20">
                  <c:v>平成14年度</c:v>
                </c:pt>
                <c:pt idx="21">
                  <c:v>平成15年度</c:v>
                </c:pt>
                <c:pt idx="22">
                  <c:v>平成16年度</c:v>
                </c:pt>
                <c:pt idx="23">
                  <c:v>平成17年度</c:v>
                </c:pt>
                <c:pt idx="24">
                  <c:v>平成18年度</c:v>
                </c:pt>
                <c:pt idx="25">
                  <c:v>平成19年度</c:v>
                </c:pt>
                <c:pt idx="26">
                  <c:v>平成20年度</c:v>
                </c:pt>
                <c:pt idx="27">
                  <c:v>平成21年度</c:v>
                </c:pt>
                <c:pt idx="28">
                  <c:v>平成22年度</c:v>
                </c:pt>
                <c:pt idx="29">
                  <c:v>平成23年度</c:v>
                </c:pt>
                <c:pt idx="30">
                  <c:v>平成24年度</c:v>
                </c:pt>
                <c:pt idx="31">
                  <c:v>平成25年度</c:v>
                </c:pt>
                <c:pt idx="32">
                  <c:v>平成26年度</c:v>
                </c:pt>
                <c:pt idx="33">
                  <c:v>平成27年度</c:v>
                </c:pt>
                <c:pt idx="34">
                  <c:v>平成28年度</c:v>
                </c:pt>
                <c:pt idx="35">
                  <c:v>平成29年度</c:v>
                </c:pt>
                <c:pt idx="36">
                  <c:v>平成30年度</c:v>
                </c:pt>
                <c:pt idx="37">
                  <c:v>令和元年度</c:v>
                </c:pt>
                <c:pt idx="38">
                  <c:v>令和２年度</c:v>
                </c:pt>
              </c:strCache>
            </c:strRef>
          </c:cat>
          <c:val>
            <c:numRef>
              <c:f>町税の内訳!$C$21:$C$60</c:f>
              <c:numCache>
                <c:formatCode>#,##0;"△"#,##0</c:formatCode>
                <c:ptCount val="40"/>
                <c:pt idx="0">
                  <c:v>420045</c:v>
                </c:pt>
                <c:pt idx="1">
                  <c:v>513854</c:v>
                </c:pt>
                <c:pt idx="2">
                  <c:v>567915</c:v>
                </c:pt>
                <c:pt idx="3">
                  <c:v>580393</c:v>
                </c:pt>
                <c:pt idx="4">
                  <c:v>679123</c:v>
                </c:pt>
                <c:pt idx="5">
                  <c:v>738047</c:v>
                </c:pt>
                <c:pt idx="6">
                  <c:v>753628</c:v>
                </c:pt>
                <c:pt idx="7">
                  <c:v>730377</c:v>
                </c:pt>
                <c:pt idx="8">
                  <c:v>766901</c:v>
                </c:pt>
                <c:pt idx="9">
                  <c:v>856676</c:v>
                </c:pt>
                <c:pt idx="10">
                  <c:v>907517</c:v>
                </c:pt>
                <c:pt idx="11">
                  <c:v>1037194</c:v>
                </c:pt>
                <c:pt idx="12">
                  <c:v>1027695</c:v>
                </c:pt>
                <c:pt idx="13">
                  <c:v>861012</c:v>
                </c:pt>
                <c:pt idx="14">
                  <c:v>947828</c:v>
                </c:pt>
                <c:pt idx="15" formatCode="#,##0">
                  <c:v>962138</c:v>
                </c:pt>
                <c:pt idx="16">
                  <c:v>1101935</c:v>
                </c:pt>
                <c:pt idx="17">
                  <c:v>1027298</c:v>
                </c:pt>
                <c:pt idx="18">
                  <c:v>1044392</c:v>
                </c:pt>
                <c:pt idx="19">
                  <c:v>1009783</c:v>
                </c:pt>
                <c:pt idx="20">
                  <c:v>1056577</c:v>
                </c:pt>
                <c:pt idx="21">
                  <c:v>961560</c:v>
                </c:pt>
                <c:pt idx="22">
                  <c:v>878779</c:v>
                </c:pt>
                <c:pt idx="23">
                  <c:v>878549</c:v>
                </c:pt>
                <c:pt idx="24">
                  <c:v>923311</c:v>
                </c:pt>
                <c:pt idx="25">
                  <c:v>1010428</c:v>
                </c:pt>
                <c:pt idx="26">
                  <c:v>1317078</c:v>
                </c:pt>
                <c:pt idx="27">
                  <c:v>1366620</c:v>
                </c:pt>
                <c:pt idx="28">
                  <c:v>1309881</c:v>
                </c:pt>
                <c:pt idx="29">
                  <c:v>1065701</c:v>
                </c:pt>
                <c:pt idx="30">
                  <c:v>1083607</c:v>
                </c:pt>
                <c:pt idx="31">
                  <c:v>1180080</c:v>
                </c:pt>
                <c:pt idx="32">
                  <c:v>1169370</c:v>
                </c:pt>
                <c:pt idx="33">
                  <c:v>1168890</c:v>
                </c:pt>
                <c:pt idx="34">
                  <c:v>1197068</c:v>
                </c:pt>
                <c:pt idx="35">
                  <c:v>1217847</c:v>
                </c:pt>
                <c:pt idx="36">
                  <c:v>1236298</c:v>
                </c:pt>
                <c:pt idx="37">
                  <c:v>1269150</c:v>
                </c:pt>
                <c:pt idx="38">
                  <c:v>1317205</c:v>
                </c:pt>
                <c:pt idx="39">
                  <c:v>1299171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24-4FE7-9495-58624DACC51C}"/>
            </c:ext>
          </c:extLst>
        </c:ser>
        <c:ser>
          <c:idx val="2"/>
          <c:order val="3"/>
          <c:tx>
            <c:strRef>
              <c:f>町税の内訳!$D$2</c:f>
              <c:strCache>
                <c:ptCount val="1"/>
                <c:pt idx="0">
                  <c:v>法人町民税</c:v>
                </c:pt>
              </c:strCache>
            </c:strRef>
          </c:tx>
          <c:cat>
            <c:strRef>
              <c:f>町税の内訳!$B$22:$B$60</c:f>
              <c:strCache>
                <c:ptCount val="39"/>
                <c:pt idx="0">
                  <c:v>昭和57年度</c:v>
                </c:pt>
                <c:pt idx="1">
                  <c:v>昭和58年度</c:v>
                </c:pt>
                <c:pt idx="2">
                  <c:v>昭和59年度</c:v>
                </c:pt>
                <c:pt idx="3">
                  <c:v>昭和60年度</c:v>
                </c:pt>
                <c:pt idx="4">
                  <c:v>昭和61年度</c:v>
                </c:pt>
                <c:pt idx="5">
                  <c:v>昭和62年度</c:v>
                </c:pt>
                <c:pt idx="6">
                  <c:v>昭和63年度</c:v>
                </c:pt>
                <c:pt idx="7">
                  <c:v>平成元年度</c:v>
                </c:pt>
                <c:pt idx="8">
                  <c:v>平成２年度</c:v>
                </c:pt>
                <c:pt idx="9">
                  <c:v>平成３年度</c:v>
                </c:pt>
                <c:pt idx="10">
                  <c:v>平成４年度</c:v>
                </c:pt>
                <c:pt idx="11">
                  <c:v>平成５年度</c:v>
                </c:pt>
                <c:pt idx="12">
                  <c:v>平成６年度</c:v>
                </c:pt>
                <c:pt idx="13">
                  <c:v>平成７年度</c:v>
                </c:pt>
                <c:pt idx="14">
                  <c:v>平成８年度</c:v>
                </c:pt>
                <c:pt idx="15">
                  <c:v>平成９年度</c:v>
                </c:pt>
                <c:pt idx="16">
                  <c:v>平成10年度</c:v>
                </c:pt>
                <c:pt idx="17">
                  <c:v>平成11年度</c:v>
                </c:pt>
                <c:pt idx="18">
                  <c:v>平成12年度</c:v>
                </c:pt>
                <c:pt idx="19">
                  <c:v>平成13年度</c:v>
                </c:pt>
                <c:pt idx="20">
                  <c:v>平成14年度</c:v>
                </c:pt>
                <c:pt idx="21">
                  <c:v>平成15年度</c:v>
                </c:pt>
                <c:pt idx="22">
                  <c:v>平成16年度</c:v>
                </c:pt>
                <c:pt idx="23">
                  <c:v>平成17年度</c:v>
                </c:pt>
                <c:pt idx="24">
                  <c:v>平成18年度</c:v>
                </c:pt>
                <c:pt idx="25">
                  <c:v>平成19年度</c:v>
                </c:pt>
                <c:pt idx="26">
                  <c:v>平成20年度</c:v>
                </c:pt>
                <c:pt idx="27">
                  <c:v>平成21年度</c:v>
                </c:pt>
                <c:pt idx="28">
                  <c:v>平成22年度</c:v>
                </c:pt>
                <c:pt idx="29">
                  <c:v>平成23年度</c:v>
                </c:pt>
                <c:pt idx="30">
                  <c:v>平成24年度</c:v>
                </c:pt>
                <c:pt idx="31">
                  <c:v>平成25年度</c:v>
                </c:pt>
                <c:pt idx="32">
                  <c:v>平成26年度</c:v>
                </c:pt>
                <c:pt idx="33">
                  <c:v>平成27年度</c:v>
                </c:pt>
                <c:pt idx="34">
                  <c:v>平成28年度</c:v>
                </c:pt>
                <c:pt idx="35">
                  <c:v>平成29年度</c:v>
                </c:pt>
                <c:pt idx="36">
                  <c:v>平成30年度</c:v>
                </c:pt>
                <c:pt idx="37">
                  <c:v>令和元年度</c:v>
                </c:pt>
                <c:pt idx="38">
                  <c:v>令和２年度</c:v>
                </c:pt>
              </c:strCache>
            </c:strRef>
          </c:cat>
          <c:val>
            <c:numRef>
              <c:f>町税の内訳!$D$21:$D$60</c:f>
              <c:numCache>
                <c:formatCode>#,##0;"△"#,##0</c:formatCode>
                <c:ptCount val="40"/>
                <c:pt idx="0">
                  <c:v>223358</c:v>
                </c:pt>
                <c:pt idx="1">
                  <c:v>179779</c:v>
                </c:pt>
                <c:pt idx="2">
                  <c:v>210196</c:v>
                </c:pt>
                <c:pt idx="3">
                  <c:v>329557</c:v>
                </c:pt>
                <c:pt idx="4">
                  <c:v>296572</c:v>
                </c:pt>
                <c:pt idx="5">
                  <c:v>236043</c:v>
                </c:pt>
                <c:pt idx="6">
                  <c:v>188672</c:v>
                </c:pt>
                <c:pt idx="7">
                  <c:v>331242</c:v>
                </c:pt>
                <c:pt idx="8">
                  <c:v>469578</c:v>
                </c:pt>
                <c:pt idx="9">
                  <c:v>485252</c:v>
                </c:pt>
                <c:pt idx="10">
                  <c:v>526809</c:v>
                </c:pt>
                <c:pt idx="11">
                  <c:v>365006</c:v>
                </c:pt>
                <c:pt idx="12">
                  <c:v>321740</c:v>
                </c:pt>
                <c:pt idx="13">
                  <c:v>370960</c:v>
                </c:pt>
                <c:pt idx="14">
                  <c:v>467132</c:v>
                </c:pt>
                <c:pt idx="15" formatCode="#,##0">
                  <c:v>594809</c:v>
                </c:pt>
                <c:pt idx="16">
                  <c:v>551152</c:v>
                </c:pt>
                <c:pt idx="17">
                  <c:v>1064077</c:v>
                </c:pt>
                <c:pt idx="18">
                  <c:v>493597</c:v>
                </c:pt>
                <c:pt idx="19">
                  <c:v>760186</c:v>
                </c:pt>
                <c:pt idx="20">
                  <c:v>780242</c:v>
                </c:pt>
                <c:pt idx="21">
                  <c:v>243312</c:v>
                </c:pt>
                <c:pt idx="22">
                  <c:v>272983</c:v>
                </c:pt>
                <c:pt idx="23">
                  <c:v>371288</c:v>
                </c:pt>
                <c:pt idx="24">
                  <c:v>378183</c:v>
                </c:pt>
                <c:pt idx="25">
                  <c:v>509131</c:v>
                </c:pt>
                <c:pt idx="26">
                  <c:v>504354</c:v>
                </c:pt>
                <c:pt idx="27">
                  <c:v>475029</c:v>
                </c:pt>
                <c:pt idx="28">
                  <c:v>176975</c:v>
                </c:pt>
                <c:pt idx="29">
                  <c:v>200902</c:v>
                </c:pt>
                <c:pt idx="30">
                  <c:v>289726</c:v>
                </c:pt>
                <c:pt idx="31">
                  <c:v>320737</c:v>
                </c:pt>
                <c:pt idx="32">
                  <c:v>253350</c:v>
                </c:pt>
                <c:pt idx="33">
                  <c:v>497570</c:v>
                </c:pt>
                <c:pt idx="34">
                  <c:v>381520</c:v>
                </c:pt>
                <c:pt idx="35">
                  <c:v>327908</c:v>
                </c:pt>
                <c:pt idx="36">
                  <c:v>332692</c:v>
                </c:pt>
                <c:pt idx="37">
                  <c:v>409517</c:v>
                </c:pt>
                <c:pt idx="38">
                  <c:v>303898</c:v>
                </c:pt>
                <c:pt idx="39">
                  <c:v>219863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24-4FE7-9495-58624DACC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04096"/>
        <c:axId val="111605632"/>
      </c:lineChart>
      <c:catAx>
        <c:axId val="11160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605632"/>
        <c:crosses val="autoZero"/>
        <c:auto val="1"/>
        <c:lblAlgn val="ctr"/>
        <c:lblOffset val="100"/>
        <c:noMultiLvlLbl val="0"/>
      </c:catAx>
      <c:valAx>
        <c:axId val="111605632"/>
        <c:scaling>
          <c:orientation val="minMax"/>
        </c:scaling>
        <c:delete val="0"/>
        <c:axPos val="l"/>
        <c:majorGridlines/>
        <c:numFmt formatCode="#,##0;&quot;△&quot;#,##0" sourceLinked="1"/>
        <c:majorTickMark val="out"/>
        <c:minorTickMark val="none"/>
        <c:tickLblPos val="nextTo"/>
        <c:crossAx val="11160409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目的別内訳!$D$2</c:f>
              <c:strCache>
                <c:ptCount val="1"/>
                <c:pt idx="0">
                  <c:v>総務費</c:v>
                </c:pt>
              </c:strCache>
            </c:strRef>
          </c:tx>
          <c:invertIfNegative val="0"/>
          <c:val>
            <c:numRef>
              <c:f>目的別内訳!$D$21:$D$60</c:f>
              <c:numCache>
                <c:formatCode>#,##0;"△"#,##0</c:formatCode>
                <c:ptCount val="40"/>
                <c:pt idx="0">
                  <c:v>531533</c:v>
                </c:pt>
                <c:pt idx="1">
                  <c:v>398794</c:v>
                </c:pt>
                <c:pt idx="2">
                  <c:v>420327</c:v>
                </c:pt>
                <c:pt idx="3">
                  <c:v>563248</c:v>
                </c:pt>
                <c:pt idx="4">
                  <c:v>550810</c:v>
                </c:pt>
                <c:pt idx="5">
                  <c:v>614612</c:v>
                </c:pt>
                <c:pt idx="6">
                  <c:v>586005</c:v>
                </c:pt>
                <c:pt idx="7">
                  <c:v>651103</c:v>
                </c:pt>
                <c:pt idx="8">
                  <c:v>907088</c:v>
                </c:pt>
                <c:pt idx="9">
                  <c:v>780439</c:v>
                </c:pt>
                <c:pt idx="10">
                  <c:v>1123033</c:v>
                </c:pt>
                <c:pt idx="11">
                  <c:v>1145206</c:v>
                </c:pt>
                <c:pt idx="12">
                  <c:v>1161350</c:v>
                </c:pt>
                <c:pt idx="13">
                  <c:v>1476457</c:v>
                </c:pt>
                <c:pt idx="14">
                  <c:v>1256703</c:v>
                </c:pt>
                <c:pt idx="15">
                  <c:v>1580258</c:v>
                </c:pt>
                <c:pt idx="16">
                  <c:v>1234041</c:v>
                </c:pt>
                <c:pt idx="17">
                  <c:v>1579726</c:v>
                </c:pt>
                <c:pt idx="18">
                  <c:v>1129629</c:v>
                </c:pt>
                <c:pt idx="19">
                  <c:v>2347881</c:v>
                </c:pt>
                <c:pt idx="20" formatCode="#,##0_);[Red]\(#,##0\)">
                  <c:v>1881277</c:v>
                </c:pt>
                <c:pt idx="21" formatCode="#,##0_);[Red]\(#,##0\)">
                  <c:v>1125671</c:v>
                </c:pt>
                <c:pt idx="22" formatCode="#,##0">
                  <c:v>1882780</c:v>
                </c:pt>
                <c:pt idx="23" formatCode="#,##0_);[Red]\(#,##0\)">
                  <c:v>1621785</c:v>
                </c:pt>
                <c:pt idx="24" formatCode="#,##0_);[Red]\(#,##0\)">
                  <c:v>1135545</c:v>
                </c:pt>
                <c:pt idx="25" formatCode="#,##0_);[Red]\(#,##0\)">
                  <c:v>1429592</c:v>
                </c:pt>
                <c:pt idx="26" formatCode="#,##0_);[Red]\(#,##0\)">
                  <c:v>1562479</c:v>
                </c:pt>
                <c:pt idx="27" formatCode="#,##0_);[Red]\(#,##0\)">
                  <c:v>1280404</c:v>
                </c:pt>
                <c:pt idx="28" formatCode="#,##0_);[Red]\(#,##0\)">
                  <c:v>1435781</c:v>
                </c:pt>
                <c:pt idx="29" formatCode="#,##0_);[Red]\(#,##0\)">
                  <c:v>1479427</c:v>
                </c:pt>
                <c:pt idx="30" formatCode="#,##0_);[Red]\(#,##0\)">
                  <c:v>1186199</c:v>
                </c:pt>
                <c:pt idx="31" formatCode="#,##0_);[Red]\(#,##0\)">
                  <c:v>982820</c:v>
                </c:pt>
                <c:pt idx="32" formatCode="#,##0_);[Red]\(#,##0\)">
                  <c:v>1043168</c:v>
                </c:pt>
                <c:pt idx="33" formatCode="#,##0_);[Red]\(#,##0\)">
                  <c:v>1020449</c:v>
                </c:pt>
                <c:pt idx="34" formatCode="#,##0_);[Red]\(#,##0\)">
                  <c:v>1130794</c:v>
                </c:pt>
                <c:pt idx="35" formatCode="#,##0_);[Red]\(#,##0\)">
                  <c:v>1151093</c:v>
                </c:pt>
                <c:pt idx="36" formatCode="#,##0_);[Red]\(#,##0\)">
                  <c:v>1105514</c:v>
                </c:pt>
                <c:pt idx="37" formatCode="#,##0_);[Red]\(#,##0\)">
                  <c:v>1250853</c:v>
                </c:pt>
                <c:pt idx="38" formatCode="#,##0_);[Red]\(#,##0\)">
                  <c:v>1219260</c:v>
                </c:pt>
                <c:pt idx="39" formatCode="#,##0_);[Red]\(#,##0\)">
                  <c:v>3716960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8-4544-89CB-637866921BE5}"/>
            </c:ext>
          </c:extLst>
        </c:ser>
        <c:ser>
          <c:idx val="2"/>
          <c:order val="2"/>
          <c:tx>
            <c:strRef>
              <c:f>目的別内訳!$E$2</c:f>
              <c:strCache>
                <c:ptCount val="1"/>
                <c:pt idx="0">
                  <c:v>民生費
（労働費）</c:v>
                </c:pt>
              </c:strCache>
            </c:strRef>
          </c:tx>
          <c:invertIfNegative val="0"/>
          <c:val>
            <c:numRef>
              <c:f>目的別内訳!$E$21:$E$60</c:f>
              <c:numCache>
                <c:formatCode>#,##0;"△"#,##0</c:formatCode>
                <c:ptCount val="40"/>
                <c:pt idx="0">
                  <c:v>452986</c:v>
                </c:pt>
                <c:pt idx="1">
                  <c:v>586295</c:v>
                </c:pt>
                <c:pt idx="2">
                  <c:v>527860</c:v>
                </c:pt>
                <c:pt idx="3">
                  <c:v>452678</c:v>
                </c:pt>
                <c:pt idx="4">
                  <c:v>589880</c:v>
                </c:pt>
                <c:pt idx="5">
                  <c:v>582958</c:v>
                </c:pt>
                <c:pt idx="6">
                  <c:v>542263</c:v>
                </c:pt>
                <c:pt idx="7">
                  <c:v>586069</c:v>
                </c:pt>
                <c:pt idx="8">
                  <c:v>606200</c:v>
                </c:pt>
                <c:pt idx="9">
                  <c:v>816319</c:v>
                </c:pt>
                <c:pt idx="10">
                  <c:v>1245325</c:v>
                </c:pt>
                <c:pt idx="11">
                  <c:v>1095305</c:v>
                </c:pt>
                <c:pt idx="12">
                  <c:v>1208007</c:v>
                </c:pt>
                <c:pt idx="13">
                  <c:v>1137685</c:v>
                </c:pt>
                <c:pt idx="14">
                  <c:v>1233008</c:v>
                </c:pt>
                <c:pt idx="15">
                  <c:v>1333149</c:v>
                </c:pt>
                <c:pt idx="16" formatCode="#,##0_);[Red]\(#,##0\)">
                  <c:v>1716406</c:v>
                </c:pt>
                <c:pt idx="17" formatCode="#,##0_);[Red]\(#,##0\)">
                  <c:v>2161018</c:v>
                </c:pt>
                <c:pt idx="18">
                  <c:v>2050990</c:v>
                </c:pt>
                <c:pt idx="19">
                  <c:v>1640243</c:v>
                </c:pt>
                <c:pt idx="20" formatCode="#,##0_);[Red]\(#,##0\)">
                  <c:v>1827486</c:v>
                </c:pt>
                <c:pt idx="21" formatCode="#,##0_);[Red]\(#,##0\)">
                  <c:v>1831315</c:v>
                </c:pt>
                <c:pt idx="22" formatCode="#,##0">
                  <c:v>1936330</c:v>
                </c:pt>
                <c:pt idx="23" formatCode="#,##0_);[Red]\(#,##0\)">
                  <c:v>1912168</c:v>
                </c:pt>
                <c:pt idx="24" formatCode="#,##0_);[Red]\(#,##0\)">
                  <c:v>1868978</c:v>
                </c:pt>
                <c:pt idx="25" formatCode="#,##0_);[Red]\(#,##0\)">
                  <c:v>1886410</c:v>
                </c:pt>
                <c:pt idx="26" formatCode="#,##0_);[Red]\(#,##0\)">
                  <c:v>2277273</c:v>
                </c:pt>
                <c:pt idx="27" formatCode="#,##0_);[Red]\(#,##0\)">
                  <c:v>2379286</c:v>
                </c:pt>
                <c:pt idx="28" formatCode="#,##0_);[Red]\(#,##0\)">
                  <c:v>2207479</c:v>
                </c:pt>
                <c:pt idx="29" formatCode="#,##0_);[Red]\(#,##0\)">
                  <c:v>2576463</c:v>
                </c:pt>
                <c:pt idx="30" formatCode="#,##0_);[Red]\(#,##0\)">
                  <c:v>2644896</c:v>
                </c:pt>
                <c:pt idx="31" formatCode="#,##0_);[Red]\(#,##0\)">
                  <c:v>2605530</c:v>
                </c:pt>
                <c:pt idx="32" formatCode="#,##0_);[Red]\(#,##0\)">
                  <c:v>2794681</c:v>
                </c:pt>
                <c:pt idx="33" formatCode="#,##0_);[Red]\(#,##0\)">
                  <c:v>3335325</c:v>
                </c:pt>
                <c:pt idx="34" formatCode="#,##0_);[Red]\(#,##0\)">
                  <c:v>2794551</c:v>
                </c:pt>
                <c:pt idx="35" formatCode="#,##0_);[Red]\(#,##0\)">
                  <c:v>2923691</c:v>
                </c:pt>
                <c:pt idx="36" formatCode="#,##0_);[Red]\(#,##0\)">
                  <c:v>3717156</c:v>
                </c:pt>
                <c:pt idx="37" formatCode="#,##0_);[Red]\(#,##0\)">
                  <c:v>3001641</c:v>
                </c:pt>
                <c:pt idx="38" formatCode="#,##0_);[Red]\(#,##0\)">
                  <c:v>3171245</c:v>
                </c:pt>
                <c:pt idx="39" formatCode="#,##0_);[Red]\(#,##0\)">
                  <c:v>3552666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18-4544-89CB-637866921BE5}"/>
            </c:ext>
          </c:extLst>
        </c:ser>
        <c:ser>
          <c:idx val="3"/>
          <c:order val="3"/>
          <c:tx>
            <c:strRef>
              <c:f>目的別内訳!$G$2</c:f>
              <c:strCache>
                <c:ptCount val="1"/>
                <c:pt idx="0">
                  <c:v>衛生費</c:v>
                </c:pt>
              </c:strCache>
            </c:strRef>
          </c:tx>
          <c:invertIfNegative val="0"/>
          <c:val>
            <c:numRef>
              <c:f>目的別内訳!$G$21:$G$60</c:f>
              <c:numCache>
                <c:formatCode>#,##0;"△"#,##0</c:formatCode>
                <c:ptCount val="40"/>
                <c:pt idx="0">
                  <c:v>196456</c:v>
                </c:pt>
                <c:pt idx="1">
                  <c:v>199029</c:v>
                </c:pt>
                <c:pt idx="2">
                  <c:v>213770</c:v>
                </c:pt>
                <c:pt idx="3">
                  <c:v>209635</c:v>
                </c:pt>
                <c:pt idx="4">
                  <c:v>238874</c:v>
                </c:pt>
                <c:pt idx="5">
                  <c:v>315616</c:v>
                </c:pt>
                <c:pt idx="6">
                  <c:v>258097</c:v>
                </c:pt>
                <c:pt idx="7">
                  <c:v>263828</c:v>
                </c:pt>
                <c:pt idx="8">
                  <c:v>525110</c:v>
                </c:pt>
                <c:pt idx="9">
                  <c:v>800453</c:v>
                </c:pt>
                <c:pt idx="10">
                  <c:v>720458</c:v>
                </c:pt>
                <c:pt idx="11">
                  <c:v>1153849</c:v>
                </c:pt>
                <c:pt idx="12">
                  <c:v>646712</c:v>
                </c:pt>
                <c:pt idx="13">
                  <c:v>723809</c:v>
                </c:pt>
                <c:pt idx="14">
                  <c:v>796178</c:v>
                </c:pt>
                <c:pt idx="15">
                  <c:v>647041</c:v>
                </c:pt>
                <c:pt idx="16">
                  <c:v>629686</c:v>
                </c:pt>
                <c:pt idx="17" formatCode="#,##0">
                  <c:v>699118</c:v>
                </c:pt>
                <c:pt idx="18">
                  <c:v>689837</c:v>
                </c:pt>
                <c:pt idx="19">
                  <c:v>705085</c:v>
                </c:pt>
                <c:pt idx="20" formatCode="#,##0_);[Red]\(#,##0\)">
                  <c:v>728959</c:v>
                </c:pt>
                <c:pt idx="21" formatCode="#,##0_);[Red]\(#,##0\)">
                  <c:v>939975</c:v>
                </c:pt>
                <c:pt idx="22" formatCode="#,##0">
                  <c:v>752411</c:v>
                </c:pt>
                <c:pt idx="23" formatCode="#,##0_);[Red]\(#,##0\)">
                  <c:v>805728</c:v>
                </c:pt>
                <c:pt idx="24" formatCode="#,##0_);[Red]\(#,##0\)">
                  <c:v>747380</c:v>
                </c:pt>
                <c:pt idx="25" formatCode="#,##0_);[Red]\(#,##0\)">
                  <c:v>689572</c:v>
                </c:pt>
                <c:pt idx="26" formatCode="#,##0_);[Red]\(#,##0\)">
                  <c:v>718353</c:v>
                </c:pt>
                <c:pt idx="27" formatCode="#,##0_);[Red]\(#,##0\)">
                  <c:v>645278</c:v>
                </c:pt>
                <c:pt idx="28" formatCode="#,##0_);[Red]\(#,##0\)">
                  <c:v>667292</c:v>
                </c:pt>
                <c:pt idx="29" formatCode="#,##0_);[Red]\(#,##0\)">
                  <c:v>688420</c:v>
                </c:pt>
                <c:pt idx="30" formatCode="#,##0_);[Red]\(#,##0\)">
                  <c:v>708774</c:v>
                </c:pt>
                <c:pt idx="31" formatCode="#,##0_);[Red]\(#,##0\)">
                  <c:v>666322</c:v>
                </c:pt>
                <c:pt idx="32" formatCode="#,##0_);[Red]\(#,##0\)">
                  <c:v>607570</c:v>
                </c:pt>
                <c:pt idx="33" formatCode="#,##0_);[Red]\(#,##0\)">
                  <c:v>681446</c:v>
                </c:pt>
                <c:pt idx="34" formatCode="#,##0_);[Red]\(#,##0\)">
                  <c:v>635762</c:v>
                </c:pt>
                <c:pt idx="35" formatCode="#,##0_);[Red]\(#,##0\)">
                  <c:v>745149</c:v>
                </c:pt>
                <c:pt idx="36" formatCode="#,##0_);[Red]\(#,##0\)">
                  <c:v>688590</c:v>
                </c:pt>
                <c:pt idx="37" formatCode="#,##0_);[Red]\(#,##0\)">
                  <c:v>713020</c:v>
                </c:pt>
                <c:pt idx="38" formatCode="#,##0_);[Red]\(#,##0\)">
                  <c:v>554824</c:v>
                </c:pt>
                <c:pt idx="39" formatCode="#,##0_);[Red]\(#,##0\)">
                  <c:v>586728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18-4544-89CB-637866921BE5}"/>
            </c:ext>
          </c:extLst>
        </c:ser>
        <c:ser>
          <c:idx val="4"/>
          <c:order val="4"/>
          <c:tx>
            <c:strRef>
              <c:f>目的別内訳!$H$2</c:f>
              <c:strCache>
                <c:ptCount val="1"/>
                <c:pt idx="0">
                  <c:v>農林水産業費</c:v>
                </c:pt>
              </c:strCache>
            </c:strRef>
          </c:tx>
          <c:invertIfNegative val="0"/>
          <c:val>
            <c:numRef>
              <c:f>目的別内訳!$H$21:$H$60</c:f>
              <c:numCache>
                <c:formatCode>#,##0;"△"#,##0</c:formatCode>
                <c:ptCount val="40"/>
                <c:pt idx="0">
                  <c:v>411406</c:v>
                </c:pt>
                <c:pt idx="1">
                  <c:v>397244</c:v>
                </c:pt>
                <c:pt idx="2">
                  <c:v>315014</c:v>
                </c:pt>
                <c:pt idx="3">
                  <c:v>289989</c:v>
                </c:pt>
                <c:pt idx="4">
                  <c:v>369909</c:v>
                </c:pt>
                <c:pt idx="5">
                  <c:v>497140</c:v>
                </c:pt>
                <c:pt idx="6">
                  <c:v>711384</c:v>
                </c:pt>
                <c:pt idx="7">
                  <c:v>699959</c:v>
                </c:pt>
                <c:pt idx="8">
                  <c:v>571134</c:v>
                </c:pt>
                <c:pt idx="9">
                  <c:v>531036</c:v>
                </c:pt>
                <c:pt idx="10">
                  <c:v>669776</c:v>
                </c:pt>
                <c:pt idx="11">
                  <c:v>622646</c:v>
                </c:pt>
                <c:pt idx="12">
                  <c:v>502732</c:v>
                </c:pt>
                <c:pt idx="13">
                  <c:v>627038</c:v>
                </c:pt>
                <c:pt idx="14">
                  <c:v>942334</c:v>
                </c:pt>
                <c:pt idx="15">
                  <c:v>964979</c:v>
                </c:pt>
                <c:pt idx="16">
                  <c:v>859582</c:v>
                </c:pt>
                <c:pt idx="17" formatCode="#,##0">
                  <c:v>890314</c:v>
                </c:pt>
                <c:pt idx="18">
                  <c:v>720347</c:v>
                </c:pt>
                <c:pt idx="19">
                  <c:v>618406</c:v>
                </c:pt>
                <c:pt idx="20" formatCode="#,##0_);[Red]\(#,##0\)">
                  <c:v>767850</c:v>
                </c:pt>
                <c:pt idx="21" formatCode="#,##0_);[Red]\(#,##0\)">
                  <c:v>740317</c:v>
                </c:pt>
                <c:pt idx="22" formatCode="#,##0">
                  <c:v>556080</c:v>
                </c:pt>
                <c:pt idx="23" formatCode="#,##0_);[Red]\(#,##0\)">
                  <c:v>475933</c:v>
                </c:pt>
                <c:pt idx="24" formatCode="#,##0_);[Red]\(#,##0\)">
                  <c:v>440771</c:v>
                </c:pt>
                <c:pt idx="25" formatCode="#,##0_);[Red]\(#,##0\)">
                  <c:v>415313</c:v>
                </c:pt>
                <c:pt idx="26" formatCode="#,##0_);[Red]\(#,##0\)">
                  <c:v>406784</c:v>
                </c:pt>
                <c:pt idx="27" formatCode="#,##0_);[Red]\(#,##0\)">
                  <c:v>542382</c:v>
                </c:pt>
                <c:pt idx="28" formatCode="#,##0_);[Red]\(#,##0\)">
                  <c:v>467192</c:v>
                </c:pt>
                <c:pt idx="29" formatCode="#,##0_);[Red]\(#,##0\)">
                  <c:v>535840</c:v>
                </c:pt>
                <c:pt idx="30" formatCode="#,##0_);[Red]\(#,##0\)">
                  <c:v>544037</c:v>
                </c:pt>
                <c:pt idx="31" formatCode="#,##0_);[Red]\(#,##0\)">
                  <c:v>467503</c:v>
                </c:pt>
                <c:pt idx="32" formatCode="#,##0_);[Red]\(#,##0\)">
                  <c:v>544612</c:v>
                </c:pt>
                <c:pt idx="33" formatCode="#,##0_);[Red]\(#,##0\)">
                  <c:v>594846</c:v>
                </c:pt>
                <c:pt idx="34" formatCode="#,##0_);[Red]\(#,##0\)">
                  <c:v>549836</c:v>
                </c:pt>
                <c:pt idx="35" formatCode="#,##0_);[Red]\(#,##0\)">
                  <c:v>562900</c:v>
                </c:pt>
                <c:pt idx="36" formatCode="#,##0_);[Red]\(#,##0\)">
                  <c:v>459309</c:v>
                </c:pt>
                <c:pt idx="37" formatCode="#,##0_);[Red]\(#,##0\)">
                  <c:v>467134</c:v>
                </c:pt>
                <c:pt idx="38" formatCode="#,##0_);[Red]\(#,##0\)">
                  <c:v>498569</c:v>
                </c:pt>
                <c:pt idx="39" formatCode="#,##0_);[Red]\(#,##0\)">
                  <c:v>699169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18-4544-89CB-637866921BE5}"/>
            </c:ext>
          </c:extLst>
        </c:ser>
        <c:ser>
          <c:idx val="5"/>
          <c:order val="5"/>
          <c:tx>
            <c:strRef>
              <c:f>目的別内訳!$J$2</c:f>
              <c:strCache>
                <c:ptCount val="1"/>
                <c:pt idx="0">
                  <c:v>土木費</c:v>
                </c:pt>
              </c:strCache>
            </c:strRef>
          </c:tx>
          <c:invertIfNegative val="0"/>
          <c:val>
            <c:numRef>
              <c:f>目的別内訳!$J$21:$J$60</c:f>
              <c:numCache>
                <c:formatCode>#,##0;"△"#,##0</c:formatCode>
                <c:ptCount val="40"/>
                <c:pt idx="0">
                  <c:v>578704</c:v>
                </c:pt>
                <c:pt idx="1">
                  <c:v>610248</c:v>
                </c:pt>
                <c:pt idx="2">
                  <c:v>551071</c:v>
                </c:pt>
                <c:pt idx="3">
                  <c:v>501152</c:v>
                </c:pt>
                <c:pt idx="4">
                  <c:v>570130</c:v>
                </c:pt>
                <c:pt idx="5">
                  <c:v>608833</c:v>
                </c:pt>
                <c:pt idx="6">
                  <c:v>704451</c:v>
                </c:pt>
                <c:pt idx="7">
                  <c:v>964356</c:v>
                </c:pt>
                <c:pt idx="8">
                  <c:v>1096397</c:v>
                </c:pt>
                <c:pt idx="9">
                  <c:v>1452903</c:v>
                </c:pt>
                <c:pt idx="10">
                  <c:v>1226469</c:v>
                </c:pt>
                <c:pt idx="11">
                  <c:v>1511514</c:v>
                </c:pt>
                <c:pt idx="12">
                  <c:v>869896</c:v>
                </c:pt>
                <c:pt idx="13">
                  <c:v>854195</c:v>
                </c:pt>
                <c:pt idx="14">
                  <c:v>1322643</c:v>
                </c:pt>
                <c:pt idx="15">
                  <c:v>991470</c:v>
                </c:pt>
                <c:pt idx="16">
                  <c:v>1037756</c:v>
                </c:pt>
                <c:pt idx="17">
                  <c:v>844926</c:v>
                </c:pt>
                <c:pt idx="18">
                  <c:v>1652904</c:v>
                </c:pt>
                <c:pt idx="19">
                  <c:v>822217</c:v>
                </c:pt>
                <c:pt idx="20" formatCode="#,##0_);[Red]\(#,##0\)">
                  <c:v>1126547</c:v>
                </c:pt>
                <c:pt idx="21" formatCode="#,##0_);[Red]\(#,##0\)">
                  <c:v>782177</c:v>
                </c:pt>
                <c:pt idx="22" formatCode="#,##0">
                  <c:v>773812</c:v>
                </c:pt>
                <c:pt idx="23" formatCode="#,##0_);[Red]\(#,##0\)">
                  <c:v>1231612</c:v>
                </c:pt>
                <c:pt idx="24" formatCode="#,##0_);[Red]\(#,##0\)">
                  <c:v>661754</c:v>
                </c:pt>
                <c:pt idx="25" formatCode="#,##0_);[Red]\(#,##0\)">
                  <c:v>787251</c:v>
                </c:pt>
                <c:pt idx="26" formatCode="#,##0_);[Red]\(#,##0\)">
                  <c:v>673163</c:v>
                </c:pt>
                <c:pt idx="27" formatCode="#,##0_);[Red]\(#,##0\)">
                  <c:v>767034</c:v>
                </c:pt>
                <c:pt idx="28" formatCode="#,##0_);[Red]\(#,##0\)">
                  <c:v>642184</c:v>
                </c:pt>
                <c:pt idx="29" formatCode="#,##0_);[Red]\(#,##0\)">
                  <c:v>870491</c:v>
                </c:pt>
                <c:pt idx="30" formatCode="#,##0_);[Red]\(#,##0\)">
                  <c:v>742256</c:v>
                </c:pt>
                <c:pt idx="31" formatCode="#,##0_);[Red]\(#,##0\)">
                  <c:v>852759</c:v>
                </c:pt>
                <c:pt idx="32" formatCode="#,##0_);[Red]\(#,##0\)">
                  <c:v>890087</c:v>
                </c:pt>
                <c:pt idx="33" formatCode="#,##0_);[Red]\(#,##0\)">
                  <c:v>943576</c:v>
                </c:pt>
                <c:pt idx="34" formatCode="#,##0_);[Red]\(#,##0\)">
                  <c:v>795139</c:v>
                </c:pt>
                <c:pt idx="35" formatCode="#,##0_);[Red]\(#,##0\)">
                  <c:v>907283</c:v>
                </c:pt>
                <c:pt idx="36" formatCode="#,##0_);[Red]\(#,##0\)">
                  <c:v>886539</c:v>
                </c:pt>
                <c:pt idx="37" formatCode="#,##0_);[Red]\(#,##0\)">
                  <c:v>856911</c:v>
                </c:pt>
                <c:pt idx="38" formatCode="#,##0_);[Red]\(#,##0\)">
                  <c:v>827162</c:v>
                </c:pt>
                <c:pt idx="39" formatCode="#,##0_);[Red]\(#,##0\)">
                  <c:v>938594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18-4544-89CB-637866921BE5}"/>
            </c:ext>
          </c:extLst>
        </c:ser>
        <c:ser>
          <c:idx val="6"/>
          <c:order val="6"/>
          <c:tx>
            <c:strRef>
              <c:f>目的別内訳!$L$2</c:f>
              <c:strCache>
                <c:ptCount val="1"/>
                <c:pt idx="0">
                  <c:v>教育費</c:v>
                </c:pt>
              </c:strCache>
            </c:strRef>
          </c:tx>
          <c:invertIfNegative val="0"/>
          <c:val>
            <c:numRef>
              <c:f>目的別内訳!$L$21:$L$60</c:f>
              <c:numCache>
                <c:formatCode>#,##0;"△"#,##0</c:formatCode>
                <c:ptCount val="40"/>
                <c:pt idx="0">
                  <c:v>757693</c:v>
                </c:pt>
                <c:pt idx="1">
                  <c:v>1467130</c:v>
                </c:pt>
                <c:pt idx="2">
                  <c:v>1120938</c:v>
                </c:pt>
                <c:pt idx="3">
                  <c:v>880427</c:v>
                </c:pt>
                <c:pt idx="4">
                  <c:v>823956</c:v>
                </c:pt>
                <c:pt idx="5">
                  <c:v>907415</c:v>
                </c:pt>
                <c:pt idx="6">
                  <c:v>1014823</c:v>
                </c:pt>
                <c:pt idx="7">
                  <c:v>898293</c:v>
                </c:pt>
                <c:pt idx="8">
                  <c:v>1058313</c:v>
                </c:pt>
                <c:pt idx="9">
                  <c:v>1298237</c:v>
                </c:pt>
                <c:pt idx="10">
                  <c:v>859309</c:v>
                </c:pt>
                <c:pt idx="11">
                  <c:v>827900</c:v>
                </c:pt>
                <c:pt idx="12">
                  <c:v>1021434</c:v>
                </c:pt>
                <c:pt idx="13">
                  <c:v>1177524</c:v>
                </c:pt>
                <c:pt idx="14">
                  <c:v>1581608</c:v>
                </c:pt>
                <c:pt idx="15">
                  <c:v>2095053</c:v>
                </c:pt>
                <c:pt idx="16">
                  <c:v>1041628</c:v>
                </c:pt>
                <c:pt idx="17">
                  <c:v>1030235</c:v>
                </c:pt>
                <c:pt idx="18">
                  <c:v>942858</c:v>
                </c:pt>
                <c:pt idx="19">
                  <c:v>1004290</c:v>
                </c:pt>
                <c:pt idx="20" formatCode="#,##0_);[Red]\(#,##0\)">
                  <c:v>1058249</c:v>
                </c:pt>
                <c:pt idx="21" formatCode="#,##0_);[Red]\(#,##0\)">
                  <c:v>885559</c:v>
                </c:pt>
                <c:pt idx="22" formatCode="#,##0">
                  <c:v>853624</c:v>
                </c:pt>
                <c:pt idx="23" formatCode="#,##0_);[Red]\(#,##0\)">
                  <c:v>755282</c:v>
                </c:pt>
                <c:pt idx="24" formatCode="#,##0_);[Red]\(#,##0\)">
                  <c:v>727314</c:v>
                </c:pt>
                <c:pt idx="25" formatCode="#,##0_);[Red]\(#,##0\)">
                  <c:v>977766</c:v>
                </c:pt>
                <c:pt idx="26" formatCode="#,##0_);[Red]\(#,##0\)">
                  <c:v>1003891</c:v>
                </c:pt>
                <c:pt idx="27" formatCode="#,##0_);[Red]\(#,##0\)">
                  <c:v>689897</c:v>
                </c:pt>
                <c:pt idx="28" formatCode="#,##0_);[Red]\(#,##0\)">
                  <c:v>917446</c:v>
                </c:pt>
                <c:pt idx="29" formatCode="#,##0_);[Red]\(#,##0\)">
                  <c:v>1489991</c:v>
                </c:pt>
                <c:pt idx="30" formatCode="#,##0_);[Red]\(#,##0\)">
                  <c:v>887966</c:v>
                </c:pt>
                <c:pt idx="31" formatCode="#,##0_);[Red]\(#,##0\)">
                  <c:v>994858</c:v>
                </c:pt>
                <c:pt idx="32" formatCode="#,##0_);[Red]\(#,##0\)">
                  <c:v>869783</c:v>
                </c:pt>
                <c:pt idx="33" formatCode="#,##0_);[Red]\(#,##0\)">
                  <c:v>1257536</c:v>
                </c:pt>
                <c:pt idx="34" formatCode="#,##0_);[Red]\(#,##0\)">
                  <c:v>1029999</c:v>
                </c:pt>
                <c:pt idx="35" formatCode="#,##0_);[Red]\(#,##0\)">
                  <c:v>817140</c:v>
                </c:pt>
                <c:pt idx="36" formatCode="#,##0_);[Red]\(#,##0\)">
                  <c:v>770166</c:v>
                </c:pt>
                <c:pt idx="37" formatCode="#,##0_);[Red]\(#,##0\)">
                  <c:v>775198</c:v>
                </c:pt>
                <c:pt idx="38" formatCode="#,##0_);[Red]\(#,##0\)">
                  <c:v>1103115</c:v>
                </c:pt>
                <c:pt idx="39" formatCode="#,##0_);[Red]\(#,##0\)">
                  <c:v>1142229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18-4544-89CB-637866921BE5}"/>
            </c:ext>
          </c:extLst>
        </c:ser>
        <c:ser>
          <c:idx val="7"/>
          <c:order val="7"/>
          <c:tx>
            <c:strRef>
              <c:f>目的別内訳!$N$2</c:f>
              <c:strCache>
                <c:ptCount val="1"/>
                <c:pt idx="0">
                  <c:v>公債費</c:v>
                </c:pt>
              </c:strCache>
            </c:strRef>
          </c:tx>
          <c:invertIfNegative val="0"/>
          <c:val>
            <c:numRef>
              <c:f>目的別内訳!$N$21:$N$60</c:f>
              <c:numCache>
                <c:formatCode>#,##0;"△"#,##0</c:formatCode>
                <c:ptCount val="40"/>
                <c:pt idx="0">
                  <c:v>223312</c:v>
                </c:pt>
                <c:pt idx="1">
                  <c:v>248628</c:v>
                </c:pt>
                <c:pt idx="2">
                  <c:v>294713</c:v>
                </c:pt>
                <c:pt idx="3">
                  <c:v>302396</c:v>
                </c:pt>
                <c:pt idx="4">
                  <c:v>322236</c:v>
                </c:pt>
                <c:pt idx="5">
                  <c:v>340694</c:v>
                </c:pt>
                <c:pt idx="6">
                  <c:v>342916</c:v>
                </c:pt>
                <c:pt idx="7">
                  <c:v>442405</c:v>
                </c:pt>
                <c:pt idx="8">
                  <c:v>379500</c:v>
                </c:pt>
                <c:pt idx="9">
                  <c:v>433062</c:v>
                </c:pt>
                <c:pt idx="10">
                  <c:v>489287</c:v>
                </c:pt>
                <c:pt idx="11">
                  <c:v>547170</c:v>
                </c:pt>
                <c:pt idx="12">
                  <c:v>625090</c:v>
                </c:pt>
                <c:pt idx="13">
                  <c:v>833494</c:v>
                </c:pt>
                <c:pt idx="14">
                  <c:v>899519</c:v>
                </c:pt>
                <c:pt idx="15">
                  <c:v>981370</c:v>
                </c:pt>
                <c:pt idx="16" formatCode="#,##0_);[Red]\(#,##0\)">
                  <c:v>1134448</c:v>
                </c:pt>
                <c:pt idx="17">
                  <c:v>1182707</c:v>
                </c:pt>
                <c:pt idx="18">
                  <c:v>984105</c:v>
                </c:pt>
                <c:pt idx="19">
                  <c:v>1108677</c:v>
                </c:pt>
                <c:pt idx="20" formatCode="#,##0_);[Red]\(#,##0\)">
                  <c:v>1092383</c:v>
                </c:pt>
                <c:pt idx="21" formatCode="#,##0_);[Red]\(#,##0\)">
                  <c:v>1127339</c:v>
                </c:pt>
                <c:pt idx="22" formatCode="#,##0_);[Red]\(#,##0\)">
                  <c:v>1109663</c:v>
                </c:pt>
                <c:pt idx="23" formatCode="#,##0_);[Red]\(#,##0\)">
                  <c:v>1045263</c:v>
                </c:pt>
                <c:pt idx="24" formatCode="#,##0_);[Red]\(#,##0\)">
                  <c:v>1370569</c:v>
                </c:pt>
                <c:pt idx="25" formatCode="#,##0_);[Red]\(#,##0\)">
                  <c:v>953071</c:v>
                </c:pt>
                <c:pt idx="26" formatCode="#,##0_);[Red]\(#,##0\)">
                  <c:v>959602</c:v>
                </c:pt>
                <c:pt idx="27" formatCode="#,##0_);[Red]\(#,##0\)">
                  <c:v>953921</c:v>
                </c:pt>
                <c:pt idx="28" formatCode="#,##0_);[Red]\(#,##0\)">
                  <c:v>927899</c:v>
                </c:pt>
                <c:pt idx="29" formatCode="#,##0_);[Red]\(#,##0\)">
                  <c:v>959582</c:v>
                </c:pt>
                <c:pt idx="30" formatCode="#,##0_);[Red]\(#,##0\)">
                  <c:v>1061166</c:v>
                </c:pt>
                <c:pt idx="31" formatCode="#,##0_);[Red]\(#,##0\)">
                  <c:v>843561</c:v>
                </c:pt>
                <c:pt idx="32" formatCode="#,##0_);[Red]\(#,##0\)">
                  <c:v>817145</c:v>
                </c:pt>
                <c:pt idx="33" formatCode="#,##0_);[Red]\(#,##0\)">
                  <c:v>822991</c:v>
                </c:pt>
                <c:pt idx="34" formatCode="#,##0_);[Red]\(#,##0\)">
                  <c:v>865660</c:v>
                </c:pt>
                <c:pt idx="35" formatCode="#,##0_);[Red]\(#,##0\)">
                  <c:v>912845</c:v>
                </c:pt>
                <c:pt idx="36" formatCode="#,##0_);[Red]\(#,##0\)">
                  <c:v>934769</c:v>
                </c:pt>
                <c:pt idx="37" formatCode="#,##0_);[Red]\(#,##0\)">
                  <c:v>915833</c:v>
                </c:pt>
                <c:pt idx="38" formatCode="#,##0_);[Red]\(#,##0\)">
                  <c:v>880512</c:v>
                </c:pt>
                <c:pt idx="39" formatCode="#,##0_);[Red]\(#,##0\)">
                  <c:v>867096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8-4544-89CB-637866921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605184"/>
        <c:axId val="144606720"/>
      </c:barChart>
      <c:lineChart>
        <c:grouping val="standard"/>
        <c:varyColors val="0"/>
        <c:ser>
          <c:idx val="0"/>
          <c:order val="0"/>
          <c:tx>
            <c:strRef>
              <c:f>目的別内訳!$Q$2</c:f>
              <c:strCache>
                <c:ptCount val="1"/>
                <c:pt idx="0">
                  <c:v>歳出総額</c:v>
                </c:pt>
              </c:strCache>
            </c:strRef>
          </c:tx>
          <c:cat>
            <c:strRef>
              <c:f>目的別内訳!$B$22:$B$60</c:f>
              <c:strCache>
                <c:ptCount val="39"/>
                <c:pt idx="0">
                  <c:v>昭和57年度</c:v>
                </c:pt>
                <c:pt idx="1">
                  <c:v>昭和58年度</c:v>
                </c:pt>
                <c:pt idx="2">
                  <c:v>昭和59年度</c:v>
                </c:pt>
                <c:pt idx="3">
                  <c:v>昭和60年度</c:v>
                </c:pt>
                <c:pt idx="4">
                  <c:v>昭和61年度</c:v>
                </c:pt>
                <c:pt idx="5">
                  <c:v>昭和62年度</c:v>
                </c:pt>
                <c:pt idx="6">
                  <c:v>昭和63年度</c:v>
                </c:pt>
                <c:pt idx="7">
                  <c:v>平成元年度</c:v>
                </c:pt>
                <c:pt idx="8">
                  <c:v>平成２年度</c:v>
                </c:pt>
                <c:pt idx="9">
                  <c:v>平成３年度</c:v>
                </c:pt>
                <c:pt idx="10">
                  <c:v>平成４年度</c:v>
                </c:pt>
                <c:pt idx="11">
                  <c:v>平成５年度</c:v>
                </c:pt>
                <c:pt idx="12">
                  <c:v>平成６年度</c:v>
                </c:pt>
                <c:pt idx="13">
                  <c:v>平成７年度</c:v>
                </c:pt>
                <c:pt idx="14">
                  <c:v>平成８年度</c:v>
                </c:pt>
                <c:pt idx="15">
                  <c:v>平成９年度</c:v>
                </c:pt>
                <c:pt idx="16">
                  <c:v>平成10年度</c:v>
                </c:pt>
                <c:pt idx="17">
                  <c:v>平成11年度</c:v>
                </c:pt>
                <c:pt idx="18">
                  <c:v>平成12年度</c:v>
                </c:pt>
                <c:pt idx="19">
                  <c:v>平成13年度</c:v>
                </c:pt>
                <c:pt idx="20">
                  <c:v>平成14年度</c:v>
                </c:pt>
                <c:pt idx="21">
                  <c:v>平成15年度</c:v>
                </c:pt>
                <c:pt idx="22">
                  <c:v>平成16年度</c:v>
                </c:pt>
                <c:pt idx="23">
                  <c:v>平成17年度</c:v>
                </c:pt>
                <c:pt idx="24">
                  <c:v>平成18年度</c:v>
                </c:pt>
                <c:pt idx="25">
                  <c:v>平成19年度</c:v>
                </c:pt>
                <c:pt idx="26">
                  <c:v>平成20年度</c:v>
                </c:pt>
                <c:pt idx="27">
                  <c:v>平成21年度</c:v>
                </c:pt>
                <c:pt idx="28">
                  <c:v>平成22年度</c:v>
                </c:pt>
                <c:pt idx="29">
                  <c:v>平成23年度</c:v>
                </c:pt>
                <c:pt idx="30">
                  <c:v>平成24年度</c:v>
                </c:pt>
                <c:pt idx="31">
                  <c:v>平成25年度</c:v>
                </c:pt>
                <c:pt idx="32">
                  <c:v>平成26年度</c:v>
                </c:pt>
                <c:pt idx="33">
                  <c:v>平成27年度</c:v>
                </c:pt>
                <c:pt idx="34">
                  <c:v>平成28年度</c:v>
                </c:pt>
                <c:pt idx="35">
                  <c:v>平成29年度</c:v>
                </c:pt>
                <c:pt idx="36">
                  <c:v>平成30年度</c:v>
                </c:pt>
                <c:pt idx="37">
                  <c:v>令和元年度</c:v>
                </c:pt>
                <c:pt idx="38">
                  <c:v>令和２年度</c:v>
                </c:pt>
              </c:strCache>
            </c:strRef>
          </c:cat>
          <c:val>
            <c:numRef>
              <c:f>目的別内訳!$Q$21:$Q$60</c:f>
              <c:numCache>
                <c:formatCode>#,##0;"△"#,##0</c:formatCode>
                <c:ptCount val="40"/>
                <c:pt idx="0">
                  <c:v>3512321</c:v>
                </c:pt>
                <c:pt idx="1">
                  <c:v>4420325</c:v>
                </c:pt>
                <c:pt idx="2">
                  <c:v>4042022</c:v>
                </c:pt>
                <c:pt idx="3">
                  <c:v>3666722</c:v>
                </c:pt>
                <c:pt idx="4">
                  <c:v>3937919</c:v>
                </c:pt>
                <c:pt idx="5">
                  <c:v>4297258</c:v>
                </c:pt>
                <c:pt idx="6">
                  <c:v>4683977</c:v>
                </c:pt>
                <c:pt idx="7">
                  <c:v>4918742</c:v>
                </c:pt>
                <c:pt idx="8">
                  <c:v>5627688</c:v>
                </c:pt>
                <c:pt idx="9">
                  <c:v>6638708</c:v>
                </c:pt>
                <c:pt idx="10">
                  <c:v>6922794</c:v>
                </c:pt>
                <c:pt idx="11">
                  <c:v>7472741</c:v>
                </c:pt>
                <c:pt idx="12">
                  <c:v>6670382</c:v>
                </c:pt>
                <c:pt idx="13">
                  <c:v>7475296</c:v>
                </c:pt>
                <c:pt idx="14">
                  <c:v>8731441</c:v>
                </c:pt>
                <c:pt idx="15">
                  <c:v>9260573</c:v>
                </c:pt>
                <c:pt idx="16">
                  <c:v>8385558</c:v>
                </c:pt>
                <c:pt idx="17" formatCode="#,##0">
                  <c:v>9236009</c:v>
                </c:pt>
                <c:pt idx="18">
                  <c:v>9766517</c:v>
                </c:pt>
                <c:pt idx="19">
                  <c:v>9396601</c:v>
                </c:pt>
                <c:pt idx="20" formatCode="#,##0_);[Red]\(#,##0\)">
                  <c:v>9707057</c:v>
                </c:pt>
                <c:pt idx="21" formatCode="#,##0_);[Red]\(#,##0\)">
                  <c:v>8723036</c:v>
                </c:pt>
                <c:pt idx="22" formatCode="#,##0">
                  <c:v>8956615</c:v>
                </c:pt>
                <c:pt idx="23" formatCode="#,##0_);[Red]\(#,##0\)">
                  <c:v>9041642</c:v>
                </c:pt>
                <c:pt idx="24" formatCode="#,##0_);[Red]\(#,##0\)">
                  <c:v>8268476</c:v>
                </c:pt>
                <c:pt idx="25" formatCode="#,##0_);[Red]\(#,##0\)">
                  <c:v>8424535</c:v>
                </c:pt>
                <c:pt idx="26" formatCode="#,##0_);[Red]\(#,##0\)">
                  <c:v>9015152</c:v>
                </c:pt>
                <c:pt idx="27" formatCode="#,##0_);[Red]\(#,##0\)">
                  <c:v>8346409</c:v>
                </c:pt>
                <c:pt idx="28" formatCode="#,##0_);[Red]\(#,##0\)">
                  <c:v>8401050</c:v>
                </c:pt>
                <c:pt idx="29" formatCode="#,##0_);[Red]\(#,##0\)">
                  <c:v>9620380</c:v>
                </c:pt>
                <c:pt idx="30" formatCode="#,##0_);[Red]\(#,##0\)">
                  <c:v>8821625</c:v>
                </c:pt>
                <c:pt idx="31" formatCode="#,##0_);[Red]\(#,##0\)">
                  <c:v>8734459</c:v>
                </c:pt>
                <c:pt idx="32" formatCode="#,##0_);[Red]\(#,##0\)">
                  <c:v>8541185</c:v>
                </c:pt>
                <c:pt idx="33" formatCode="#,##0_);[Red]\(#,##0\)">
                  <c:v>9751302</c:v>
                </c:pt>
                <c:pt idx="34" formatCode="#,##0_);[Red]\(#,##0\)">
                  <c:v>8824796</c:v>
                </c:pt>
                <c:pt idx="35" formatCode="#,##0_);[Red]\(#,##0\)">
                  <c:v>8999082</c:v>
                </c:pt>
                <c:pt idx="36" formatCode="#,##0_);[Red]\(#,##0\)">
                  <c:v>9709505</c:v>
                </c:pt>
                <c:pt idx="37" formatCode="#,##0_);[Red]\(#,##0\)">
                  <c:v>9028907</c:v>
                </c:pt>
                <c:pt idx="38" formatCode="#,##0_);[Red]\(#,##0\)">
                  <c:v>9295564</c:v>
                </c:pt>
                <c:pt idx="39" formatCode="#,##0_);[Red]\(#,##0\)">
                  <c:v>12716215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18-4544-89CB-637866921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05184"/>
        <c:axId val="144606720"/>
      </c:lineChart>
      <c:catAx>
        <c:axId val="144605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4606720"/>
        <c:crosses val="autoZero"/>
        <c:auto val="1"/>
        <c:lblAlgn val="ctr"/>
        <c:lblOffset val="100"/>
        <c:noMultiLvlLbl val="0"/>
      </c:catAx>
      <c:valAx>
        <c:axId val="144606720"/>
        <c:scaling>
          <c:orientation val="minMax"/>
        </c:scaling>
        <c:delete val="0"/>
        <c:axPos val="l"/>
        <c:majorGridlines/>
        <c:numFmt formatCode="#,##0;&quot;△&quot;#,##0" sourceLinked="1"/>
        <c:majorTickMark val="out"/>
        <c:minorTickMark val="none"/>
        <c:tickLblPos val="nextTo"/>
        <c:crossAx val="144605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39413</xdr:colOff>
      <xdr:row>61</xdr:row>
      <xdr:rowOff>126123</xdr:rowOff>
    </xdr:from>
    <xdr:to>
      <xdr:col>17</xdr:col>
      <xdr:colOff>768568</xdr:colOff>
      <xdr:row>93</xdr:row>
      <xdr:rowOff>124810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446944</xdr:colOff>
      <xdr:row>63</xdr:row>
      <xdr:rowOff>90120</xdr:rowOff>
    </xdr:from>
    <xdr:to>
      <xdr:col>15</xdr:col>
      <xdr:colOff>344368</xdr:colOff>
      <xdr:row>86</xdr:row>
      <xdr:rowOff>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124558</xdr:colOff>
      <xdr:row>61</xdr:row>
      <xdr:rowOff>112101</xdr:rowOff>
    </xdr:from>
    <xdr:to>
      <xdr:col>16</xdr:col>
      <xdr:colOff>674077</xdr:colOff>
      <xdr:row>86</xdr:row>
      <xdr:rowOff>51288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20220700_R03_&#26222;&#36890;&#20250;&#35336;&#27770;&#31639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決算状況"/>
      <sheetName val="歳入の内訳"/>
      <sheetName val="町税の内訳"/>
      <sheetName val="目的別内訳"/>
      <sheetName val="性質別内訳"/>
      <sheetName val="経常一般充当"/>
      <sheetName val="交付税の状況"/>
      <sheetName val="法人税割"/>
      <sheetName val="基金状況"/>
      <sheetName val="長期債資料"/>
      <sheetName val="公債費比率と繰上償還"/>
      <sheetName val="職員数状況"/>
      <sheetName val="自由財源グラフ"/>
      <sheetName val="税割グラフ3～8"/>
      <sheetName val="税割 グラフ9～14"/>
      <sheetName val="税割 グラフ15～20"/>
      <sheetName val="税割 グラフ21～26"/>
      <sheetName val="税割 グラフ27～32"/>
    </sheetNames>
    <sheetDataSet>
      <sheetData sheetId="0"/>
      <sheetData sheetId="1"/>
      <sheetData sheetId="2">
        <row r="2">
          <cell r="C2" t="str">
            <v>　町　　税</v>
          </cell>
          <cell r="D2" t="str">
            <v>地方交付税</v>
          </cell>
          <cell r="K2" t="str">
            <v>国庫支出金</v>
          </cell>
          <cell r="N2" t="str">
            <v>地方債</v>
          </cell>
          <cell r="O2" t="str">
            <v>繰入金</v>
          </cell>
          <cell r="P2" t="str">
            <v>繰越金</v>
          </cell>
          <cell r="R2" t="str">
            <v>歳入総額</v>
          </cell>
        </row>
        <row r="21">
          <cell r="B21" t="str">
            <v>昭和56年度</v>
          </cell>
          <cell r="C21">
            <v>1166624</v>
          </cell>
          <cell r="D21">
            <v>966687</v>
          </cell>
          <cell r="K21">
            <v>396648</v>
          </cell>
          <cell r="N21">
            <v>274200</v>
          </cell>
          <cell r="O21">
            <v>21367</v>
          </cell>
          <cell r="P21">
            <v>36359</v>
          </cell>
          <cell r="R21">
            <v>3609291</v>
          </cell>
        </row>
        <row r="22">
          <cell r="B22" t="str">
            <v>昭和57年度</v>
          </cell>
          <cell r="C22">
            <v>1304428</v>
          </cell>
          <cell r="D22">
            <v>824721</v>
          </cell>
          <cell r="K22">
            <v>550657</v>
          </cell>
          <cell r="N22">
            <v>726800</v>
          </cell>
          <cell r="O22">
            <v>126796</v>
          </cell>
          <cell r="P22">
            <v>56970</v>
          </cell>
          <cell r="R22">
            <v>4536193</v>
          </cell>
        </row>
        <row r="23">
          <cell r="B23" t="str">
            <v>昭和58年度</v>
          </cell>
          <cell r="C23">
            <v>1465888</v>
          </cell>
          <cell r="D23">
            <v>857542</v>
          </cell>
          <cell r="K23">
            <v>421810</v>
          </cell>
          <cell r="N23" t="str">
            <v>-</v>
          </cell>
          <cell r="O23">
            <v>271657</v>
          </cell>
          <cell r="P23">
            <v>105868</v>
          </cell>
          <cell r="R23">
            <v>4097285</v>
          </cell>
        </row>
        <row r="24">
          <cell r="B24" t="str">
            <v>昭和59年度</v>
          </cell>
          <cell r="C24">
            <v>1684727</v>
          </cell>
          <cell r="D24">
            <v>757029</v>
          </cell>
          <cell r="K24">
            <v>251953</v>
          </cell>
          <cell r="N24" t="str">
            <v>-</v>
          </cell>
          <cell r="O24">
            <v>222899</v>
          </cell>
          <cell r="P24">
            <v>55263</v>
          </cell>
          <cell r="R24">
            <v>3793512</v>
          </cell>
        </row>
        <row r="25">
          <cell r="B25" t="str">
            <v>昭和60年度</v>
          </cell>
          <cell r="C25">
            <v>1891939</v>
          </cell>
          <cell r="D25">
            <v>660520</v>
          </cell>
          <cell r="K25">
            <v>236660</v>
          </cell>
          <cell r="N25">
            <v>231000</v>
          </cell>
          <cell r="O25">
            <v>24728</v>
          </cell>
          <cell r="P25">
            <v>126790</v>
          </cell>
          <cell r="R25">
            <v>4059029</v>
          </cell>
        </row>
        <row r="26">
          <cell r="B26" t="str">
            <v>昭和61年度</v>
          </cell>
          <cell r="C26">
            <v>1990756</v>
          </cell>
          <cell r="D26">
            <v>695419</v>
          </cell>
          <cell r="K26">
            <v>229564</v>
          </cell>
          <cell r="N26">
            <v>311400</v>
          </cell>
          <cell r="O26">
            <v>175036</v>
          </cell>
          <cell r="P26">
            <v>121110</v>
          </cell>
          <cell r="R26">
            <v>4464988</v>
          </cell>
        </row>
        <row r="27">
          <cell r="B27" t="str">
            <v>昭和62年度</v>
          </cell>
          <cell r="C27">
            <v>2010501</v>
          </cell>
          <cell r="D27">
            <v>821346</v>
          </cell>
          <cell r="K27">
            <v>279208</v>
          </cell>
          <cell r="N27">
            <v>457000</v>
          </cell>
          <cell r="O27">
            <v>44969</v>
          </cell>
          <cell r="P27">
            <v>167730</v>
          </cell>
          <cell r="R27">
            <v>4829682</v>
          </cell>
        </row>
        <row r="28">
          <cell r="B28" t="str">
            <v>昭和63年度</v>
          </cell>
          <cell r="C28">
            <v>2183948</v>
          </cell>
          <cell r="D28">
            <v>1048551</v>
          </cell>
          <cell r="K28">
            <v>286829</v>
          </cell>
          <cell r="N28">
            <v>318700</v>
          </cell>
          <cell r="O28">
            <v>82226</v>
          </cell>
          <cell r="P28">
            <v>145705</v>
          </cell>
          <cell r="R28">
            <v>5042837</v>
          </cell>
        </row>
        <row r="29">
          <cell r="B29" t="str">
            <v>平成元年度</v>
          </cell>
          <cell r="C29">
            <v>2313485</v>
          </cell>
          <cell r="D29">
            <v>1247781</v>
          </cell>
          <cell r="K29">
            <v>325853</v>
          </cell>
          <cell r="N29">
            <v>633100</v>
          </cell>
          <cell r="O29">
            <v>160278</v>
          </cell>
          <cell r="P29">
            <v>124286</v>
          </cell>
          <cell r="R29">
            <v>5831220</v>
          </cell>
        </row>
        <row r="30">
          <cell r="B30" t="str">
            <v>平成２年度</v>
          </cell>
          <cell r="C30">
            <v>2464456</v>
          </cell>
          <cell r="D30">
            <v>1272028</v>
          </cell>
          <cell r="K30">
            <v>294248</v>
          </cell>
          <cell r="N30">
            <v>1089700</v>
          </cell>
          <cell r="O30">
            <v>461066</v>
          </cell>
          <cell r="P30">
            <v>203532</v>
          </cell>
          <cell r="R30">
            <v>6803919</v>
          </cell>
        </row>
        <row r="31">
          <cell r="B31" t="str">
            <v>平成３年度</v>
          </cell>
          <cell r="C31">
            <v>2650777</v>
          </cell>
          <cell r="D31">
            <v>1537642</v>
          </cell>
          <cell r="K31">
            <v>215433</v>
          </cell>
          <cell r="N31">
            <v>944800</v>
          </cell>
          <cell r="O31">
            <v>445337</v>
          </cell>
          <cell r="P31">
            <v>165211</v>
          </cell>
          <cell r="R31">
            <v>7121221</v>
          </cell>
        </row>
        <row r="32">
          <cell r="B32" t="str">
            <v>平成４年度</v>
          </cell>
          <cell r="C32">
            <v>2715045</v>
          </cell>
          <cell r="D32">
            <v>2064940</v>
          </cell>
          <cell r="K32">
            <v>275726</v>
          </cell>
          <cell r="N32">
            <v>1044100</v>
          </cell>
          <cell r="O32">
            <v>326449</v>
          </cell>
          <cell r="P32">
            <v>198427</v>
          </cell>
          <cell r="R32">
            <v>7717769</v>
          </cell>
        </row>
        <row r="33">
          <cell r="B33" t="str">
            <v>平成５年度</v>
          </cell>
          <cell r="C33">
            <v>2772161</v>
          </cell>
          <cell r="D33">
            <v>1436118</v>
          </cell>
          <cell r="K33">
            <v>309125</v>
          </cell>
          <cell r="N33">
            <v>612800</v>
          </cell>
          <cell r="O33">
            <v>326148</v>
          </cell>
          <cell r="P33">
            <v>245028</v>
          </cell>
          <cell r="R33">
            <v>6926561</v>
          </cell>
        </row>
        <row r="34">
          <cell r="B34" t="str">
            <v>平成６年度</v>
          </cell>
          <cell r="C34">
            <v>2672395</v>
          </cell>
          <cell r="D34">
            <v>1761657</v>
          </cell>
          <cell r="K34">
            <v>350808</v>
          </cell>
          <cell r="N34">
            <v>891700</v>
          </cell>
          <cell r="O34">
            <v>524070</v>
          </cell>
          <cell r="P34">
            <v>256179</v>
          </cell>
          <cell r="R34">
            <v>7739348</v>
          </cell>
        </row>
        <row r="35">
          <cell r="B35" t="str">
            <v>平成７年度</v>
          </cell>
          <cell r="C35">
            <v>2903137</v>
          </cell>
          <cell r="D35">
            <v>1971502</v>
          </cell>
          <cell r="K35">
            <v>348128</v>
          </cell>
          <cell r="N35">
            <v>1436100</v>
          </cell>
          <cell r="O35">
            <v>644679</v>
          </cell>
          <cell r="P35">
            <v>264052</v>
          </cell>
          <cell r="R35">
            <v>9127521</v>
          </cell>
        </row>
        <row r="36">
          <cell r="B36" t="str">
            <v>平成８年度</v>
          </cell>
          <cell r="C36">
            <v>3097234</v>
          </cell>
          <cell r="D36">
            <v>2050028</v>
          </cell>
          <cell r="K36">
            <v>303221</v>
          </cell>
          <cell r="N36">
            <v>1712200</v>
          </cell>
          <cell r="O36">
            <v>758420</v>
          </cell>
          <cell r="P36">
            <v>396080</v>
          </cell>
          <cell r="R36">
            <v>9625637</v>
          </cell>
        </row>
        <row r="37">
          <cell r="B37" t="str">
            <v>平成９年度</v>
          </cell>
          <cell r="C37">
            <v>3200814</v>
          </cell>
          <cell r="D37">
            <v>1901382</v>
          </cell>
          <cell r="K37">
            <v>330604</v>
          </cell>
          <cell r="N37">
            <v>871200</v>
          </cell>
          <cell r="O37">
            <v>595151</v>
          </cell>
          <cell r="P37">
            <v>365064</v>
          </cell>
          <cell r="R37">
            <v>8715877</v>
          </cell>
        </row>
        <row r="38">
          <cell r="B38" t="str">
            <v>平成10年度</v>
          </cell>
          <cell r="C38">
            <v>3726138</v>
          </cell>
          <cell r="D38">
            <v>1955583</v>
          </cell>
          <cell r="K38">
            <v>520539</v>
          </cell>
          <cell r="N38">
            <v>865800</v>
          </cell>
          <cell r="O38">
            <v>678681</v>
          </cell>
          <cell r="P38">
            <v>330319</v>
          </cell>
          <cell r="R38">
            <v>9862976</v>
          </cell>
        </row>
        <row r="39">
          <cell r="B39" t="str">
            <v>平成11年度</v>
          </cell>
          <cell r="C39">
            <v>3305652</v>
          </cell>
          <cell r="D39">
            <v>1644360</v>
          </cell>
          <cell r="K39">
            <v>662100</v>
          </cell>
          <cell r="N39">
            <v>673600</v>
          </cell>
          <cell r="O39">
            <v>864866</v>
          </cell>
          <cell r="P39">
            <v>626967</v>
          </cell>
          <cell r="R39">
            <v>10394580</v>
          </cell>
        </row>
        <row r="40">
          <cell r="B40" t="str">
            <v>平成12年度</v>
          </cell>
          <cell r="C40">
            <v>3511634</v>
          </cell>
          <cell r="D40">
            <v>2248246</v>
          </cell>
          <cell r="K40">
            <v>381372</v>
          </cell>
          <cell r="N40">
            <v>864700</v>
          </cell>
          <cell r="O40">
            <v>517981</v>
          </cell>
          <cell r="P40">
            <v>628063</v>
          </cell>
          <cell r="R40">
            <v>9768958</v>
          </cell>
        </row>
        <row r="41">
          <cell r="B41" t="str">
            <v>平成13年度</v>
          </cell>
          <cell r="C41">
            <v>3646866</v>
          </cell>
          <cell r="D41">
            <v>1805876</v>
          </cell>
          <cell r="K41">
            <v>557404</v>
          </cell>
          <cell r="N41">
            <v>1263900</v>
          </cell>
          <cell r="O41">
            <v>608501</v>
          </cell>
          <cell r="P41">
            <v>372357</v>
          </cell>
          <cell r="R41">
            <v>10060874</v>
          </cell>
        </row>
        <row r="42">
          <cell r="B42" t="str">
            <v>平成14年度</v>
          </cell>
          <cell r="C42">
            <v>3055187</v>
          </cell>
          <cell r="D42">
            <v>1717869</v>
          </cell>
          <cell r="K42">
            <v>339660</v>
          </cell>
          <cell r="N42">
            <v>1069800</v>
          </cell>
          <cell r="O42">
            <v>933252</v>
          </cell>
          <cell r="P42">
            <v>353817</v>
          </cell>
          <cell r="R42">
            <v>9216838</v>
          </cell>
        </row>
        <row r="43">
          <cell r="B43" t="str">
            <v>平成15年度</v>
          </cell>
          <cell r="C43">
            <v>2952516</v>
          </cell>
          <cell r="D43">
            <v>2124395</v>
          </cell>
          <cell r="K43">
            <v>373926</v>
          </cell>
          <cell r="N43">
            <v>975300</v>
          </cell>
          <cell r="O43">
            <v>496454</v>
          </cell>
          <cell r="P43">
            <v>493802</v>
          </cell>
          <cell r="R43">
            <v>9430864</v>
          </cell>
        </row>
        <row r="44">
          <cell r="B44" t="str">
            <v>平成16年度</v>
          </cell>
          <cell r="C44">
            <v>3093429</v>
          </cell>
          <cell r="D44">
            <v>2113936</v>
          </cell>
          <cell r="K44">
            <v>265635</v>
          </cell>
          <cell r="N44">
            <v>941900</v>
          </cell>
          <cell r="O44">
            <v>580290</v>
          </cell>
          <cell r="P44">
            <v>474249</v>
          </cell>
          <cell r="R44">
            <v>9477560</v>
          </cell>
        </row>
        <row r="45">
          <cell r="B45" t="str">
            <v>平成17年度</v>
          </cell>
          <cell r="C45">
            <v>3168589</v>
          </cell>
          <cell r="D45">
            <v>1947503</v>
          </cell>
          <cell r="K45">
            <v>313205</v>
          </cell>
          <cell r="N45">
            <v>651400</v>
          </cell>
          <cell r="O45">
            <v>414569</v>
          </cell>
          <cell r="P45">
            <v>435918</v>
          </cell>
          <cell r="R45">
            <v>8860007</v>
          </cell>
        </row>
        <row r="46">
          <cell r="B46" t="str">
            <v>平成18年度</v>
          </cell>
          <cell r="C46">
            <v>3350647</v>
          </cell>
          <cell r="D46">
            <v>1622065</v>
          </cell>
          <cell r="K46">
            <v>321446</v>
          </cell>
          <cell r="N46">
            <v>545200</v>
          </cell>
          <cell r="O46">
            <v>395980</v>
          </cell>
          <cell r="P46">
            <v>591531</v>
          </cell>
          <cell r="R46">
            <v>8884601</v>
          </cell>
        </row>
        <row r="47">
          <cell r="B47" t="str">
            <v>平成19年度</v>
          </cell>
          <cell r="C47">
            <v>3736281</v>
          </cell>
          <cell r="D47">
            <v>1389640</v>
          </cell>
          <cell r="K47">
            <v>753761</v>
          </cell>
          <cell r="N47">
            <v>727000</v>
          </cell>
          <cell r="O47">
            <v>18930</v>
          </cell>
          <cell r="P47">
            <v>460066</v>
          </cell>
          <cell r="R47">
            <v>9331509</v>
          </cell>
        </row>
        <row r="48">
          <cell r="B48" t="str">
            <v>平成20年度</v>
          </cell>
          <cell r="C48">
            <v>3835070</v>
          </cell>
          <cell r="D48">
            <v>1516488</v>
          </cell>
          <cell r="K48">
            <v>968739</v>
          </cell>
          <cell r="N48">
            <v>361700</v>
          </cell>
          <cell r="O48">
            <v>25417</v>
          </cell>
          <cell r="P48">
            <v>316357</v>
          </cell>
          <cell r="R48">
            <v>8882752</v>
          </cell>
        </row>
        <row r="49">
          <cell r="B49" t="str">
            <v>平成21年度</v>
          </cell>
          <cell r="C49">
            <v>3489213</v>
          </cell>
          <cell r="D49">
            <v>1595781</v>
          </cell>
          <cell r="K49">
            <v>791343</v>
          </cell>
          <cell r="N49">
            <v>622100</v>
          </cell>
          <cell r="O49">
            <v>138614</v>
          </cell>
          <cell r="P49">
            <v>536343</v>
          </cell>
          <cell r="R49">
            <v>8917456</v>
          </cell>
        </row>
        <row r="50">
          <cell r="B50" t="str">
            <v>平成22年度</v>
          </cell>
          <cell r="C50">
            <v>3235938</v>
          </cell>
          <cell r="D50">
            <v>2054819</v>
          </cell>
          <cell r="K50">
            <v>1578698</v>
          </cell>
          <cell r="N50">
            <v>857500</v>
          </cell>
          <cell r="O50">
            <v>102425</v>
          </cell>
          <cell r="P50">
            <v>516406</v>
          </cell>
          <cell r="R50">
            <v>10124770</v>
          </cell>
        </row>
        <row r="51">
          <cell r="B51" t="str">
            <v>平成23年度</v>
          </cell>
          <cell r="C51">
            <v>3338163</v>
          </cell>
          <cell r="D51">
            <v>2200394</v>
          </cell>
          <cell r="K51">
            <v>784690</v>
          </cell>
          <cell r="N51">
            <v>663100</v>
          </cell>
          <cell r="O51">
            <v>61129</v>
          </cell>
          <cell r="P51">
            <v>504390</v>
          </cell>
          <cell r="R51">
            <v>9259401</v>
          </cell>
        </row>
        <row r="52">
          <cell r="B52" t="str">
            <v>平成24年度</v>
          </cell>
          <cell r="C52">
            <v>3344251</v>
          </cell>
          <cell r="D52">
            <v>2134302</v>
          </cell>
          <cell r="K52">
            <v>646031</v>
          </cell>
          <cell r="N52">
            <v>996700</v>
          </cell>
          <cell r="O52">
            <v>20506</v>
          </cell>
          <cell r="P52">
            <v>437776</v>
          </cell>
          <cell r="R52">
            <v>9192835</v>
          </cell>
        </row>
        <row r="53">
          <cell r="B53" t="str">
            <v>平成25年度</v>
          </cell>
          <cell r="C53">
            <v>3276443</v>
          </cell>
          <cell r="D53">
            <v>2088099</v>
          </cell>
          <cell r="K53">
            <v>612107</v>
          </cell>
          <cell r="N53">
            <v>923200</v>
          </cell>
          <cell r="O53">
            <v>118870</v>
          </cell>
          <cell r="P53">
            <v>458376</v>
          </cell>
          <cell r="R53">
            <v>9063773</v>
          </cell>
        </row>
        <row r="54">
          <cell r="B54" t="str">
            <v>平成26年度</v>
          </cell>
          <cell r="C54">
            <v>3510604</v>
          </cell>
          <cell r="D54">
            <v>2176881</v>
          </cell>
          <cell r="K54">
            <v>754300</v>
          </cell>
          <cell r="N54">
            <v>1515800</v>
          </cell>
          <cell r="O54">
            <v>22533</v>
          </cell>
          <cell r="P54">
            <v>522588</v>
          </cell>
          <cell r="R54">
            <v>10180496</v>
          </cell>
        </row>
        <row r="55">
          <cell r="B55" t="str">
            <v>平成27年度</v>
          </cell>
          <cell r="C55">
            <v>3373998</v>
          </cell>
          <cell r="D55">
            <v>2121254</v>
          </cell>
          <cell r="K55">
            <v>760877</v>
          </cell>
          <cell r="N55">
            <v>780400</v>
          </cell>
          <cell r="O55">
            <v>24166</v>
          </cell>
          <cell r="P55">
            <v>429577</v>
          </cell>
          <cell r="R55">
            <v>9423690</v>
          </cell>
        </row>
        <row r="56">
          <cell r="B56" t="str">
            <v>平成28年度</v>
          </cell>
          <cell r="C56">
            <v>3381829</v>
          </cell>
          <cell r="D56">
            <v>2149982</v>
          </cell>
          <cell r="K56">
            <v>820229</v>
          </cell>
          <cell r="N56">
            <v>657200</v>
          </cell>
          <cell r="O56">
            <v>39360</v>
          </cell>
          <cell r="P56">
            <v>598894</v>
          </cell>
          <cell r="R56">
            <v>9536591</v>
          </cell>
        </row>
        <row r="57">
          <cell r="B57" t="str">
            <v>平成29年度</v>
          </cell>
          <cell r="C57">
            <v>3412468</v>
          </cell>
          <cell r="D57">
            <v>2069164</v>
          </cell>
          <cell r="K57">
            <v>802421</v>
          </cell>
          <cell r="N57">
            <v>1305300</v>
          </cell>
          <cell r="O57">
            <v>252926</v>
          </cell>
          <cell r="P57">
            <v>537509</v>
          </cell>
          <cell r="R57">
            <v>10308309</v>
          </cell>
        </row>
        <row r="58">
          <cell r="B58" t="str">
            <v>平成30年度</v>
          </cell>
          <cell r="C58">
            <v>3491654</v>
          </cell>
          <cell r="D58">
            <v>2086548</v>
          </cell>
          <cell r="K58">
            <v>657590</v>
          </cell>
          <cell r="N58">
            <v>712800</v>
          </cell>
          <cell r="O58">
            <v>89057</v>
          </cell>
          <cell r="P58">
            <v>598804</v>
          </cell>
          <cell r="R58">
            <v>9678104</v>
          </cell>
        </row>
        <row r="59">
          <cell r="B59" t="str">
            <v>令和元年度</v>
          </cell>
          <cell r="C59">
            <v>3487546</v>
          </cell>
          <cell r="D59">
            <v>2081472</v>
          </cell>
          <cell r="K59">
            <v>785895</v>
          </cell>
          <cell r="N59">
            <v>831400</v>
          </cell>
          <cell r="O59">
            <v>70600</v>
          </cell>
          <cell r="P59">
            <v>649197</v>
          </cell>
          <cell r="R59">
            <v>9960220</v>
          </cell>
        </row>
        <row r="60">
          <cell r="B60" t="str">
            <v>令和２年度</v>
          </cell>
          <cell r="C60">
            <v>3417483</v>
          </cell>
          <cell r="D60">
            <v>2394657</v>
          </cell>
          <cell r="K60">
            <v>3904639</v>
          </cell>
          <cell r="N60">
            <v>1128000</v>
          </cell>
          <cell r="O60">
            <v>68021</v>
          </cell>
          <cell r="P60">
            <v>664656</v>
          </cell>
          <cell r="R60">
            <v>13685009</v>
          </cell>
        </row>
      </sheetData>
      <sheetData sheetId="3">
        <row r="2">
          <cell r="C2" t="str">
            <v>個人町民税</v>
          </cell>
          <cell r="D2" t="str">
            <v>法人町民税</v>
          </cell>
          <cell r="F2" t="str">
            <v>固定資産税</v>
          </cell>
          <cell r="M2" t="str">
            <v xml:space="preserve"> 町税合計</v>
          </cell>
        </row>
        <row r="21">
          <cell r="C21">
            <v>420045</v>
          </cell>
          <cell r="D21">
            <v>223358</v>
          </cell>
          <cell r="F21">
            <v>381130</v>
          </cell>
          <cell r="M21">
            <v>1166624</v>
          </cell>
        </row>
        <row r="22">
          <cell r="B22" t="str">
            <v>昭和57年度</v>
          </cell>
          <cell r="C22">
            <v>513854</v>
          </cell>
          <cell r="D22">
            <v>179779</v>
          </cell>
          <cell r="F22">
            <v>455912</v>
          </cell>
          <cell r="M22">
            <v>1304428</v>
          </cell>
        </row>
        <row r="23">
          <cell r="B23" t="str">
            <v>昭和58年度</v>
          </cell>
          <cell r="C23">
            <v>567915</v>
          </cell>
          <cell r="D23">
            <v>210196</v>
          </cell>
          <cell r="F23">
            <v>512757</v>
          </cell>
          <cell r="M23">
            <v>1465888</v>
          </cell>
        </row>
        <row r="24">
          <cell r="B24" t="str">
            <v>昭和59年度</v>
          </cell>
          <cell r="C24">
            <v>580393</v>
          </cell>
          <cell r="D24">
            <v>329557</v>
          </cell>
          <cell r="F24">
            <v>570721</v>
          </cell>
          <cell r="M24">
            <v>1684727</v>
          </cell>
        </row>
        <row r="25">
          <cell r="B25" t="str">
            <v>昭和60年度</v>
          </cell>
          <cell r="C25">
            <v>679123</v>
          </cell>
          <cell r="D25">
            <v>296572</v>
          </cell>
          <cell r="F25">
            <v>689982</v>
          </cell>
          <cell r="M25">
            <v>1891939</v>
          </cell>
        </row>
        <row r="26">
          <cell r="B26" t="str">
            <v>昭和61年度</v>
          </cell>
          <cell r="C26">
            <v>738047</v>
          </cell>
          <cell r="D26">
            <v>236043</v>
          </cell>
          <cell r="F26">
            <v>786030</v>
          </cell>
          <cell r="M26">
            <v>1990756</v>
          </cell>
        </row>
        <row r="27">
          <cell r="B27" t="str">
            <v>昭和62年度</v>
          </cell>
          <cell r="C27">
            <v>753628</v>
          </cell>
          <cell r="D27">
            <v>188672</v>
          </cell>
          <cell r="F27">
            <v>841890</v>
          </cell>
          <cell r="M27">
            <v>2010501</v>
          </cell>
        </row>
        <row r="28">
          <cell r="B28" t="str">
            <v>昭和63年度</v>
          </cell>
          <cell r="C28">
            <v>730377</v>
          </cell>
          <cell r="D28">
            <v>331242</v>
          </cell>
          <cell r="F28">
            <v>889121</v>
          </cell>
          <cell r="M28">
            <v>2183948</v>
          </cell>
        </row>
        <row r="29">
          <cell r="B29" t="str">
            <v>平成元年度</v>
          </cell>
          <cell r="C29">
            <v>766901</v>
          </cell>
          <cell r="D29">
            <v>469578</v>
          </cell>
          <cell r="F29">
            <v>957253</v>
          </cell>
          <cell r="M29">
            <v>2313485</v>
          </cell>
        </row>
        <row r="30">
          <cell r="B30" t="str">
            <v>平成２年度</v>
          </cell>
          <cell r="C30">
            <v>856676</v>
          </cell>
          <cell r="D30">
            <v>485252</v>
          </cell>
          <cell r="F30">
            <v>1015529</v>
          </cell>
          <cell r="M30">
            <v>2464456</v>
          </cell>
        </row>
        <row r="31">
          <cell r="B31" t="str">
            <v>平成３年度</v>
          </cell>
          <cell r="C31">
            <v>907517</v>
          </cell>
          <cell r="D31">
            <v>526809</v>
          </cell>
          <cell r="F31">
            <v>1104912</v>
          </cell>
          <cell r="M31">
            <v>2650777</v>
          </cell>
        </row>
        <row r="32">
          <cell r="B32" t="str">
            <v>平成４年度</v>
          </cell>
          <cell r="C32">
            <v>1037194</v>
          </cell>
          <cell r="D32">
            <v>365006</v>
          </cell>
          <cell r="F32">
            <v>1197347</v>
          </cell>
          <cell r="M32">
            <v>2715045</v>
          </cell>
        </row>
        <row r="33">
          <cell r="B33" t="str">
            <v>平成５年度</v>
          </cell>
          <cell r="C33">
            <v>1027695</v>
          </cell>
          <cell r="D33">
            <v>321740</v>
          </cell>
          <cell r="F33">
            <v>1300829</v>
          </cell>
          <cell r="M33">
            <v>2772161</v>
          </cell>
        </row>
        <row r="34">
          <cell r="B34" t="str">
            <v>平成６年度</v>
          </cell>
          <cell r="C34">
            <v>861012</v>
          </cell>
          <cell r="D34">
            <v>370960</v>
          </cell>
          <cell r="F34">
            <v>1312652</v>
          </cell>
          <cell r="M34">
            <v>2672395</v>
          </cell>
        </row>
        <row r="35">
          <cell r="B35" t="str">
            <v>平成７年度</v>
          </cell>
          <cell r="C35">
            <v>947828</v>
          </cell>
          <cell r="D35">
            <v>467132</v>
          </cell>
          <cell r="F35">
            <v>1350650</v>
          </cell>
          <cell r="M35">
            <v>2903137</v>
          </cell>
        </row>
        <row r="36">
          <cell r="B36" t="str">
            <v>平成８年度</v>
          </cell>
          <cell r="C36">
            <v>962138</v>
          </cell>
          <cell r="D36">
            <v>594809</v>
          </cell>
          <cell r="F36">
            <v>1396381</v>
          </cell>
          <cell r="M36">
            <v>3097234</v>
          </cell>
        </row>
        <row r="37">
          <cell r="B37" t="str">
            <v>平成９年度</v>
          </cell>
          <cell r="C37">
            <v>1101935</v>
          </cell>
          <cell r="D37">
            <v>551152</v>
          </cell>
          <cell r="F37">
            <v>1378485</v>
          </cell>
          <cell r="M37">
            <v>3200814</v>
          </cell>
        </row>
        <row r="38">
          <cell r="B38" t="str">
            <v>平成10年度</v>
          </cell>
          <cell r="C38">
            <v>1027298</v>
          </cell>
          <cell r="D38">
            <v>1064077</v>
          </cell>
          <cell r="F38">
            <v>1446729</v>
          </cell>
          <cell r="M38">
            <v>3726138</v>
          </cell>
        </row>
        <row r="39">
          <cell r="B39" t="str">
            <v>平成11年度</v>
          </cell>
          <cell r="C39">
            <v>1044392</v>
          </cell>
          <cell r="D39">
            <v>493597</v>
          </cell>
          <cell r="F39">
            <v>1536687</v>
          </cell>
          <cell r="M39">
            <v>3305652</v>
          </cell>
        </row>
        <row r="40">
          <cell r="B40" t="str">
            <v>平成12年度</v>
          </cell>
          <cell r="C40">
            <v>1009783</v>
          </cell>
          <cell r="D40">
            <v>760186</v>
          </cell>
          <cell r="F40">
            <v>1506191</v>
          </cell>
          <cell r="M40">
            <v>3511634</v>
          </cell>
        </row>
        <row r="41">
          <cell r="B41" t="str">
            <v>平成13年度</v>
          </cell>
          <cell r="C41">
            <v>1056577</v>
          </cell>
          <cell r="D41">
            <v>780242</v>
          </cell>
          <cell r="F41">
            <v>1569859</v>
          </cell>
          <cell r="M41">
            <v>3646866</v>
          </cell>
        </row>
        <row r="42">
          <cell r="B42" t="str">
            <v>平成14年度</v>
          </cell>
          <cell r="C42">
            <v>961560</v>
          </cell>
          <cell r="D42">
            <v>243312</v>
          </cell>
          <cell r="F42">
            <v>1622816</v>
          </cell>
          <cell r="M42">
            <v>3055187</v>
          </cell>
        </row>
        <row r="43">
          <cell r="B43" t="str">
            <v>平成15年度</v>
          </cell>
          <cell r="C43">
            <v>878779</v>
          </cell>
          <cell r="D43">
            <v>272983</v>
          </cell>
          <cell r="F43">
            <v>1563907</v>
          </cell>
          <cell r="M43">
            <v>2952516</v>
          </cell>
        </row>
        <row r="44">
          <cell r="B44" t="str">
            <v>平成16年度</v>
          </cell>
          <cell r="C44">
            <v>878549</v>
          </cell>
          <cell r="D44">
            <v>371288</v>
          </cell>
          <cell r="F44">
            <v>1600146</v>
          </cell>
          <cell r="M44">
            <v>3093429</v>
          </cell>
        </row>
        <row r="45">
          <cell r="B45" t="str">
            <v>平成17年度</v>
          </cell>
          <cell r="C45">
            <v>923311</v>
          </cell>
          <cell r="D45">
            <v>378183</v>
          </cell>
          <cell r="F45">
            <v>1627970</v>
          </cell>
          <cell r="M45">
            <v>3168589</v>
          </cell>
        </row>
        <row r="46">
          <cell r="B46" t="str">
            <v>平成18年度</v>
          </cell>
          <cell r="C46">
            <v>1010428</v>
          </cell>
          <cell r="D46">
            <v>509131</v>
          </cell>
          <cell r="F46">
            <v>1587064</v>
          </cell>
          <cell r="M46">
            <v>3350647</v>
          </cell>
        </row>
        <row r="47">
          <cell r="B47" t="str">
            <v>平成19年度</v>
          </cell>
          <cell r="C47">
            <v>1317078</v>
          </cell>
          <cell r="D47">
            <v>504354</v>
          </cell>
          <cell r="F47">
            <v>1667459</v>
          </cell>
          <cell r="M47">
            <v>3736281</v>
          </cell>
        </row>
        <row r="48">
          <cell r="B48" t="str">
            <v>平成20年度</v>
          </cell>
          <cell r="C48">
            <v>1366620</v>
          </cell>
          <cell r="D48">
            <v>475029</v>
          </cell>
          <cell r="F48">
            <v>1751137</v>
          </cell>
          <cell r="M48">
            <v>3835070</v>
          </cell>
        </row>
        <row r="49">
          <cell r="B49" t="str">
            <v>平成21年度</v>
          </cell>
          <cell r="C49">
            <v>1309881</v>
          </cell>
          <cell r="D49">
            <v>176975</v>
          </cell>
          <cell r="F49">
            <v>1778863</v>
          </cell>
          <cell r="M49">
            <v>3489213</v>
          </cell>
        </row>
        <row r="50">
          <cell r="B50" t="str">
            <v>平成22年度</v>
          </cell>
          <cell r="C50">
            <v>1065701</v>
          </cell>
          <cell r="D50">
            <v>200902</v>
          </cell>
          <cell r="F50">
            <v>1737049</v>
          </cell>
          <cell r="M50">
            <v>3235938</v>
          </cell>
        </row>
        <row r="51">
          <cell r="B51" t="str">
            <v>平成23年度</v>
          </cell>
          <cell r="C51">
            <v>1083607</v>
          </cell>
          <cell r="D51">
            <v>289726</v>
          </cell>
          <cell r="F51">
            <v>1708347</v>
          </cell>
          <cell r="M51">
            <v>3338163</v>
          </cell>
        </row>
        <row r="52">
          <cell r="B52" t="str">
            <v>平成24年度</v>
          </cell>
          <cell r="C52">
            <v>1180080</v>
          </cell>
          <cell r="D52">
            <v>320737</v>
          </cell>
          <cell r="F52">
            <v>1585278</v>
          </cell>
          <cell r="M52">
            <v>3344251</v>
          </cell>
        </row>
        <row r="53">
          <cell r="B53" t="str">
            <v>平成25年度</v>
          </cell>
          <cell r="C53">
            <v>1169370</v>
          </cell>
          <cell r="D53">
            <v>253350</v>
          </cell>
          <cell r="F53">
            <v>1582113</v>
          </cell>
          <cell r="M53">
            <v>3276443</v>
          </cell>
        </row>
        <row r="54">
          <cell r="B54" t="str">
            <v>平成26年度</v>
          </cell>
          <cell r="C54">
            <v>1168890</v>
          </cell>
          <cell r="D54">
            <v>497570</v>
          </cell>
          <cell r="F54">
            <v>1574426</v>
          </cell>
          <cell r="M54">
            <v>3510604</v>
          </cell>
        </row>
        <row r="55">
          <cell r="B55" t="str">
            <v>平成27年度</v>
          </cell>
          <cell r="C55">
            <v>1197068</v>
          </cell>
          <cell r="D55">
            <v>381520</v>
          </cell>
          <cell r="F55">
            <v>1527446</v>
          </cell>
          <cell r="M55">
            <v>3373998</v>
          </cell>
        </row>
        <row r="56">
          <cell r="B56" t="str">
            <v>平成28年度</v>
          </cell>
          <cell r="C56">
            <v>1217847</v>
          </cell>
          <cell r="D56">
            <v>327908</v>
          </cell>
          <cell r="F56">
            <v>1557145</v>
          </cell>
          <cell r="M56">
            <v>3381829</v>
          </cell>
        </row>
        <row r="57">
          <cell r="B57" t="str">
            <v>平成29年度</v>
          </cell>
          <cell r="C57">
            <v>1236298</v>
          </cell>
          <cell r="D57">
            <v>332692</v>
          </cell>
          <cell r="F57">
            <v>1570495</v>
          </cell>
          <cell r="M57">
            <v>3412468</v>
          </cell>
        </row>
        <row r="58">
          <cell r="B58" t="str">
            <v>平成30年度</v>
          </cell>
          <cell r="C58">
            <v>1269150</v>
          </cell>
          <cell r="D58">
            <v>409517</v>
          </cell>
          <cell r="F58">
            <v>1541553</v>
          </cell>
          <cell r="M58">
            <v>3491654</v>
          </cell>
        </row>
        <row r="59">
          <cell r="B59" t="str">
            <v>令和元年度</v>
          </cell>
          <cell r="C59">
            <v>1317205</v>
          </cell>
          <cell r="D59">
            <v>303898</v>
          </cell>
          <cell r="F59">
            <v>1581177</v>
          </cell>
          <cell r="M59">
            <v>3487546</v>
          </cell>
        </row>
        <row r="60">
          <cell r="B60" t="str">
            <v>令和２年度</v>
          </cell>
          <cell r="C60">
            <v>1299171</v>
          </cell>
          <cell r="D60">
            <v>219863</v>
          </cell>
          <cell r="F60">
            <v>1621719</v>
          </cell>
          <cell r="M60">
            <v>3417483</v>
          </cell>
        </row>
      </sheetData>
      <sheetData sheetId="4">
        <row r="2">
          <cell r="D2" t="str">
            <v>総務費</v>
          </cell>
          <cell r="E2" t="str">
            <v>民生費
（労働費）</v>
          </cell>
          <cell r="G2" t="str">
            <v>衛生費</v>
          </cell>
          <cell r="H2" t="str">
            <v>農林水産業費</v>
          </cell>
          <cell r="J2" t="str">
            <v>土木費</v>
          </cell>
          <cell r="L2" t="str">
            <v>教育費</v>
          </cell>
          <cell r="N2" t="str">
            <v>公債費</v>
          </cell>
          <cell r="Q2" t="str">
            <v>歳出総額</v>
          </cell>
        </row>
        <row r="21">
          <cell r="D21">
            <v>531533</v>
          </cell>
          <cell r="E21">
            <v>452986</v>
          </cell>
          <cell r="G21">
            <v>196456</v>
          </cell>
          <cell r="H21">
            <v>411406</v>
          </cell>
          <cell r="J21">
            <v>578704</v>
          </cell>
          <cell r="L21">
            <v>757693</v>
          </cell>
          <cell r="N21">
            <v>223312</v>
          </cell>
          <cell r="Q21">
            <v>3512321</v>
          </cell>
        </row>
        <row r="22">
          <cell r="B22" t="str">
            <v>昭和57年度</v>
          </cell>
          <cell r="D22">
            <v>398794</v>
          </cell>
          <cell r="E22">
            <v>586295</v>
          </cell>
          <cell r="G22">
            <v>199029</v>
          </cell>
          <cell r="H22">
            <v>397244</v>
          </cell>
          <cell r="J22">
            <v>610248</v>
          </cell>
          <cell r="L22">
            <v>1467130</v>
          </cell>
          <cell r="N22">
            <v>248628</v>
          </cell>
          <cell r="Q22">
            <v>4420325</v>
          </cell>
        </row>
        <row r="23">
          <cell r="B23" t="str">
            <v>昭和58年度</v>
          </cell>
          <cell r="D23">
            <v>420327</v>
          </cell>
          <cell r="E23">
            <v>527860</v>
          </cell>
          <cell r="G23">
            <v>213770</v>
          </cell>
          <cell r="H23">
            <v>315014</v>
          </cell>
          <cell r="J23">
            <v>551071</v>
          </cell>
          <cell r="L23">
            <v>1120938</v>
          </cell>
          <cell r="N23">
            <v>294713</v>
          </cell>
          <cell r="Q23">
            <v>4042022</v>
          </cell>
        </row>
        <row r="24">
          <cell r="B24" t="str">
            <v>昭和59年度</v>
          </cell>
          <cell r="D24">
            <v>563248</v>
          </cell>
          <cell r="E24">
            <v>452678</v>
          </cell>
          <cell r="G24">
            <v>209635</v>
          </cell>
          <cell r="H24">
            <v>289989</v>
          </cell>
          <cell r="J24">
            <v>501152</v>
          </cell>
          <cell r="L24">
            <v>880427</v>
          </cell>
          <cell r="N24">
            <v>302396</v>
          </cell>
          <cell r="Q24">
            <v>3666722</v>
          </cell>
        </row>
        <row r="25">
          <cell r="B25" t="str">
            <v>昭和60年度</v>
          </cell>
          <cell r="D25">
            <v>550810</v>
          </cell>
          <cell r="E25">
            <v>589880</v>
          </cell>
          <cell r="G25">
            <v>238874</v>
          </cell>
          <cell r="H25">
            <v>369909</v>
          </cell>
          <cell r="J25">
            <v>570130</v>
          </cell>
          <cell r="L25">
            <v>823956</v>
          </cell>
          <cell r="N25">
            <v>322236</v>
          </cell>
          <cell r="Q25">
            <v>3937919</v>
          </cell>
        </row>
        <row r="26">
          <cell r="B26" t="str">
            <v>昭和61年度</v>
          </cell>
          <cell r="D26">
            <v>614612</v>
          </cell>
          <cell r="E26">
            <v>582958</v>
          </cell>
          <cell r="G26">
            <v>315616</v>
          </cell>
          <cell r="H26">
            <v>497140</v>
          </cell>
          <cell r="J26">
            <v>608833</v>
          </cell>
          <cell r="L26">
            <v>907415</v>
          </cell>
          <cell r="N26">
            <v>340694</v>
          </cell>
          <cell r="Q26">
            <v>4297258</v>
          </cell>
        </row>
        <row r="27">
          <cell r="B27" t="str">
            <v>昭和62年度</v>
          </cell>
          <cell r="D27">
            <v>586005</v>
          </cell>
          <cell r="E27">
            <v>542263</v>
          </cell>
          <cell r="G27">
            <v>258097</v>
          </cell>
          <cell r="H27">
            <v>711384</v>
          </cell>
          <cell r="J27">
            <v>704451</v>
          </cell>
          <cell r="L27">
            <v>1014823</v>
          </cell>
          <cell r="N27">
            <v>342916</v>
          </cell>
          <cell r="Q27">
            <v>4683977</v>
          </cell>
        </row>
        <row r="28">
          <cell r="B28" t="str">
            <v>昭和63年度</v>
          </cell>
          <cell r="D28">
            <v>651103</v>
          </cell>
          <cell r="E28">
            <v>586069</v>
          </cell>
          <cell r="G28">
            <v>263828</v>
          </cell>
          <cell r="H28">
            <v>699959</v>
          </cell>
          <cell r="J28">
            <v>964356</v>
          </cell>
          <cell r="L28">
            <v>898293</v>
          </cell>
          <cell r="N28">
            <v>442405</v>
          </cell>
          <cell r="Q28">
            <v>4918742</v>
          </cell>
        </row>
        <row r="29">
          <cell r="B29" t="str">
            <v>平成元年度</v>
          </cell>
          <cell r="D29">
            <v>907088</v>
          </cell>
          <cell r="E29">
            <v>606200</v>
          </cell>
          <cell r="G29">
            <v>525110</v>
          </cell>
          <cell r="H29">
            <v>571134</v>
          </cell>
          <cell r="J29">
            <v>1096397</v>
          </cell>
          <cell r="L29">
            <v>1058313</v>
          </cell>
          <cell r="N29">
            <v>379500</v>
          </cell>
          <cell r="Q29">
            <v>5627688</v>
          </cell>
        </row>
        <row r="30">
          <cell r="B30" t="str">
            <v>平成２年度</v>
          </cell>
          <cell r="D30">
            <v>780439</v>
          </cell>
          <cell r="E30">
            <v>816319</v>
          </cell>
          <cell r="G30">
            <v>800453</v>
          </cell>
          <cell r="H30">
            <v>531036</v>
          </cell>
          <cell r="J30">
            <v>1452903</v>
          </cell>
          <cell r="L30">
            <v>1298237</v>
          </cell>
          <cell r="N30">
            <v>433062</v>
          </cell>
          <cell r="Q30">
            <v>6638708</v>
          </cell>
        </row>
        <row r="31">
          <cell r="B31" t="str">
            <v>平成３年度</v>
          </cell>
          <cell r="D31">
            <v>1123033</v>
          </cell>
          <cell r="E31">
            <v>1245325</v>
          </cell>
          <cell r="G31">
            <v>720458</v>
          </cell>
          <cell r="H31">
            <v>669776</v>
          </cell>
          <cell r="J31">
            <v>1226469</v>
          </cell>
          <cell r="L31">
            <v>859309</v>
          </cell>
          <cell r="N31">
            <v>489287</v>
          </cell>
          <cell r="Q31">
            <v>6922794</v>
          </cell>
        </row>
        <row r="32">
          <cell r="B32" t="str">
            <v>平成４年度</v>
          </cell>
          <cell r="D32">
            <v>1145206</v>
          </cell>
          <cell r="E32">
            <v>1095305</v>
          </cell>
          <cell r="G32">
            <v>1153849</v>
          </cell>
          <cell r="H32">
            <v>622646</v>
          </cell>
          <cell r="J32">
            <v>1511514</v>
          </cell>
          <cell r="L32">
            <v>827900</v>
          </cell>
          <cell r="N32">
            <v>547170</v>
          </cell>
          <cell r="Q32">
            <v>7472741</v>
          </cell>
        </row>
        <row r="33">
          <cell r="B33" t="str">
            <v>平成５年度</v>
          </cell>
          <cell r="D33">
            <v>1161350</v>
          </cell>
          <cell r="E33">
            <v>1208007</v>
          </cell>
          <cell r="G33">
            <v>646712</v>
          </cell>
          <cell r="H33">
            <v>502732</v>
          </cell>
          <cell r="J33">
            <v>869896</v>
          </cell>
          <cell r="L33">
            <v>1021434</v>
          </cell>
          <cell r="N33">
            <v>625090</v>
          </cell>
          <cell r="Q33">
            <v>6670382</v>
          </cell>
        </row>
        <row r="34">
          <cell r="B34" t="str">
            <v>平成６年度</v>
          </cell>
          <cell r="D34">
            <v>1476457</v>
          </cell>
          <cell r="E34">
            <v>1137685</v>
          </cell>
          <cell r="G34">
            <v>723809</v>
          </cell>
          <cell r="H34">
            <v>627038</v>
          </cell>
          <cell r="J34">
            <v>854195</v>
          </cell>
          <cell r="L34">
            <v>1177524</v>
          </cell>
          <cell r="N34">
            <v>833494</v>
          </cell>
          <cell r="Q34">
            <v>7475296</v>
          </cell>
        </row>
        <row r="35">
          <cell r="B35" t="str">
            <v>平成７年度</v>
          </cell>
          <cell r="D35">
            <v>1256703</v>
          </cell>
          <cell r="E35">
            <v>1233008</v>
          </cell>
          <cell r="G35">
            <v>796178</v>
          </cell>
          <cell r="H35">
            <v>942334</v>
          </cell>
          <cell r="J35">
            <v>1322643</v>
          </cell>
          <cell r="L35">
            <v>1581608</v>
          </cell>
          <cell r="N35">
            <v>899519</v>
          </cell>
          <cell r="Q35">
            <v>8731441</v>
          </cell>
        </row>
        <row r="36">
          <cell r="B36" t="str">
            <v>平成８年度</v>
          </cell>
          <cell r="D36">
            <v>1580258</v>
          </cell>
          <cell r="E36">
            <v>1333149</v>
          </cell>
          <cell r="G36">
            <v>647041</v>
          </cell>
          <cell r="H36">
            <v>964979</v>
          </cell>
          <cell r="J36">
            <v>991470</v>
          </cell>
          <cell r="L36">
            <v>2095053</v>
          </cell>
          <cell r="N36">
            <v>981370</v>
          </cell>
          <cell r="Q36">
            <v>9260573</v>
          </cell>
        </row>
        <row r="37">
          <cell r="B37" t="str">
            <v>平成９年度</v>
          </cell>
          <cell r="D37">
            <v>1234041</v>
          </cell>
          <cell r="E37">
            <v>1716406</v>
          </cell>
          <cell r="G37">
            <v>629686</v>
          </cell>
          <cell r="H37">
            <v>859582</v>
          </cell>
          <cell r="J37">
            <v>1037756</v>
          </cell>
          <cell r="L37">
            <v>1041628</v>
          </cell>
          <cell r="N37">
            <v>1134448</v>
          </cell>
          <cell r="Q37">
            <v>8385558</v>
          </cell>
        </row>
        <row r="38">
          <cell r="B38" t="str">
            <v>平成10年度</v>
          </cell>
          <cell r="D38">
            <v>1579726</v>
          </cell>
          <cell r="E38">
            <v>2161018</v>
          </cell>
          <cell r="G38">
            <v>699118</v>
          </cell>
          <cell r="H38">
            <v>890314</v>
          </cell>
          <cell r="J38">
            <v>844926</v>
          </cell>
          <cell r="L38">
            <v>1030235</v>
          </cell>
          <cell r="N38">
            <v>1182707</v>
          </cell>
          <cell r="Q38">
            <v>9236009</v>
          </cell>
        </row>
        <row r="39">
          <cell r="B39" t="str">
            <v>平成11年度</v>
          </cell>
          <cell r="D39">
            <v>1129629</v>
          </cell>
          <cell r="E39">
            <v>2050990</v>
          </cell>
          <cell r="G39">
            <v>689837</v>
          </cell>
          <cell r="H39">
            <v>720347</v>
          </cell>
          <cell r="J39">
            <v>1652904</v>
          </cell>
          <cell r="L39">
            <v>942858</v>
          </cell>
          <cell r="N39">
            <v>984105</v>
          </cell>
          <cell r="Q39">
            <v>9766517</v>
          </cell>
        </row>
        <row r="40">
          <cell r="B40" t="str">
            <v>平成12年度</v>
          </cell>
          <cell r="D40">
            <v>2347881</v>
          </cell>
          <cell r="E40">
            <v>1640243</v>
          </cell>
          <cell r="G40">
            <v>705085</v>
          </cell>
          <cell r="H40">
            <v>618406</v>
          </cell>
          <cell r="J40">
            <v>822217</v>
          </cell>
          <cell r="L40">
            <v>1004290</v>
          </cell>
          <cell r="N40">
            <v>1108677</v>
          </cell>
          <cell r="Q40">
            <v>9396601</v>
          </cell>
        </row>
        <row r="41">
          <cell r="B41" t="str">
            <v>平成13年度</v>
          </cell>
          <cell r="D41">
            <v>1881277</v>
          </cell>
          <cell r="E41">
            <v>1827486</v>
          </cell>
          <cell r="G41">
            <v>728959</v>
          </cell>
          <cell r="H41">
            <v>767850</v>
          </cell>
          <cell r="J41">
            <v>1126547</v>
          </cell>
          <cell r="L41">
            <v>1058249</v>
          </cell>
          <cell r="N41">
            <v>1092383</v>
          </cell>
          <cell r="Q41">
            <v>9707057</v>
          </cell>
        </row>
        <row r="42">
          <cell r="B42" t="str">
            <v>平成14年度</v>
          </cell>
          <cell r="D42">
            <v>1125671</v>
          </cell>
          <cell r="E42">
            <v>1831315</v>
          </cell>
          <cell r="G42">
            <v>939975</v>
          </cell>
          <cell r="H42">
            <v>740317</v>
          </cell>
          <cell r="J42">
            <v>782177</v>
          </cell>
          <cell r="L42">
            <v>885559</v>
          </cell>
          <cell r="N42">
            <v>1127339</v>
          </cell>
          <cell r="Q42">
            <v>8723036</v>
          </cell>
        </row>
        <row r="43">
          <cell r="B43" t="str">
            <v>平成15年度</v>
          </cell>
          <cell r="D43">
            <v>1882780</v>
          </cell>
          <cell r="E43">
            <v>1936330</v>
          </cell>
          <cell r="G43">
            <v>752411</v>
          </cell>
          <cell r="H43">
            <v>556080</v>
          </cell>
          <cell r="J43">
            <v>773812</v>
          </cell>
          <cell r="L43">
            <v>853624</v>
          </cell>
          <cell r="N43">
            <v>1109663</v>
          </cell>
          <cell r="Q43">
            <v>8956615</v>
          </cell>
        </row>
        <row r="44">
          <cell r="B44" t="str">
            <v>平成16年度</v>
          </cell>
          <cell r="D44">
            <v>1621785</v>
          </cell>
          <cell r="E44">
            <v>1912168</v>
          </cell>
          <cell r="G44">
            <v>805728</v>
          </cell>
          <cell r="H44">
            <v>475933</v>
          </cell>
          <cell r="J44">
            <v>1231612</v>
          </cell>
          <cell r="L44">
            <v>755282</v>
          </cell>
          <cell r="N44">
            <v>1045263</v>
          </cell>
          <cell r="Q44">
            <v>9041642</v>
          </cell>
        </row>
        <row r="45">
          <cell r="B45" t="str">
            <v>平成17年度</v>
          </cell>
          <cell r="D45">
            <v>1135545</v>
          </cell>
          <cell r="E45">
            <v>1868978</v>
          </cell>
          <cell r="G45">
            <v>747380</v>
          </cell>
          <cell r="H45">
            <v>440771</v>
          </cell>
          <cell r="J45">
            <v>661754</v>
          </cell>
          <cell r="L45">
            <v>727314</v>
          </cell>
          <cell r="N45">
            <v>1370569</v>
          </cell>
          <cell r="Q45">
            <v>8268476</v>
          </cell>
        </row>
        <row r="46">
          <cell r="B46" t="str">
            <v>平成18年度</v>
          </cell>
          <cell r="D46">
            <v>1429592</v>
          </cell>
          <cell r="E46">
            <v>1886410</v>
          </cell>
          <cell r="G46">
            <v>689572</v>
          </cell>
          <cell r="H46">
            <v>415313</v>
          </cell>
          <cell r="J46">
            <v>787251</v>
          </cell>
          <cell r="L46">
            <v>977766</v>
          </cell>
          <cell r="N46">
            <v>953071</v>
          </cell>
          <cell r="Q46">
            <v>8424535</v>
          </cell>
        </row>
        <row r="47">
          <cell r="B47" t="str">
            <v>平成19年度</v>
          </cell>
          <cell r="D47">
            <v>1562479</v>
          </cell>
          <cell r="E47">
            <v>2277273</v>
          </cell>
          <cell r="G47">
            <v>718353</v>
          </cell>
          <cell r="H47">
            <v>406784</v>
          </cell>
          <cell r="J47">
            <v>673163</v>
          </cell>
          <cell r="L47">
            <v>1003891</v>
          </cell>
          <cell r="N47">
            <v>959602</v>
          </cell>
          <cell r="Q47">
            <v>9015152</v>
          </cell>
        </row>
        <row r="48">
          <cell r="B48" t="str">
            <v>平成20年度</v>
          </cell>
          <cell r="D48">
            <v>1280404</v>
          </cell>
          <cell r="E48">
            <v>2379286</v>
          </cell>
          <cell r="G48">
            <v>645278</v>
          </cell>
          <cell r="H48">
            <v>542382</v>
          </cell>
          <cell r="J48">
            <v>767034</v>
          </cell>
          <cell r="L48">
            <v>689897</v>
          </cell>
          <cell r="N48">
            <v>953921</v>
          </cell>
          <cell r="Q48">
            <v>8346409</v>
          </cell>
        </row>
        <row r="49">
          <cell r="B49" t="str">
            <v>平成21年度</v>
          </cell>
          <cell r="D49">
            <v>1435781</v>
          </cell>
          <cell r="E49">
            <v>2207479</v>
          </cell>
          <cell r="G49">
            <v>667292</v>
          </cell>
          <cell r="H49">
            <v>467192</v>
          </cell>
          <cell r="J49">
            <v>642184</v>
          </cell>
          <cell r="L49">
            <v>917446</v>
          </cell>
          <cell r="N49">
            <v>927899</v>
          </cell>
          <cell r="Q49">
            <v>8401050</v>
          </cell>
        </row>
        <row r="50">
          <cell r="B50" t="str">
            <v>平成22年度</v>
          </cell>
          <cell r="D50">
            <v>1479427</v>
          </cell>
          <cell r="E50">
            <v>2576463</v>
          </cell>
          <cell r="G50">
            <v>688420</v>
          </cell>
          <cell r="H50">
            <v>535840</v>
          </cell>
          <cell r="J50">
            <v>870491</v>
          </cell>
          <cell r="L50">
            <v>1489991</v>
          </cell>
          <cell r="N50">
            <v>959582</v>
          </cell>
          <cell r="Q50">
            <v>9620380</v>
          </cell>
        </row>
        <row r="51">
          <cell r="B51" t="str">
            <v>平成23年度</v>
          </cell>
          <cell r="D51">
            <v>1186199</v>
          </cell>
          <cell r="E51">
            <v>2644896</v>
          </cell>
          <cell r="G51">
            <v>708774</v>
          </cell>
          <cell r="H51">
            <v>544037</v>
          </cell>
          <cell r="J51">
            <v>742256</v>
          </cell>
          <cell r="L51">
            <v>887966</v>
          </cell>
          <cell r="N51">
            <v>1061166</v>
          </cell>
          <cell r="Q51">
            <v>8821625</v>
          </cell>
        </row>
        <row r="52">
          <cell r="B52" t="str">
            <v>平成24年度</v>
          </cell>
          <cell r="D52">
            <v>982820</v>
          </cell>
          <cell r="E52">
            <v>2605530</v>
          </cell>
          <cell r="G52">
            <v>666322</v>
          </cell>
          <cell r="H52">
            <v>467503</v>
          </cell>
          <cell r="J52">
            <v>852759</v>
          </cell>
          <cell r="L52">
            <v>994858</v>
          </cell>
          <cell r="N52">
            <v>843561</v>
          </cell>
          <cell r="Q52">
            <v>8734459</v>
          </cell>
        </row>
        <row r="53">
          <cell r="B53" t="str">
            <v>平成25年度</v>
          </cell>
          <cell r="D53">
            <v>1043168</v>
          </cell>
          <cell r="E53">
            <v>2794681</v>
          </cell>
          <cell r="G53">
            <v>607570</v>
          </cell>
          <cell r="H53">
            <v>544612</v>
          </cell>
          <cell r="J53">
            <v>890087</v>
          </cell>
          <cell r="L53">
            <v>869783</v>
          </cell>
          <cell r="N53">
            <v>817145</v>
          </cell>
          <cell r="Q53">
            <v>8541185</v>
          </cell>
        </row>
        <row r="54">
          <cell r="B54" t="str">
            <v>平成26年度</v>
          </cell>
          <cell r="D54">
            <v>1020449</v>
          </cell>
          <cell r="E54">
            <v>3335325</v>
          </cell>
          <cell r="G54">
            <v>681446</v>
          </cell>
          <cell r="H54">
            <v>594846</v>
          </cell>
          <cell r="J54">
            <v>943576</v>
          </cell>
          <cell r="L54">
            <v>1257536</v>
          </cell>
          <cell r="N54">
            <v>822991</v>
          </cell>
          <cell r="Q54">
            <v>9751302</v>
          </cell>
        </row>
        <row r="55">
          <cell r="B55" t="str">
            <v>平成27年度</v>
          </cell>
          <cell r="D55">
            <v>1130794</v>
          </cell>
          <cell r="E55">
            <v>2794551</v>
          </cell>
          <cell r="G55">
            <v>635762</v>
          </cell>
          <cell r="H55">
            <v>549836</v>
          </cell>
          <cell r="J55">
            <v>795139</v>
          </cell>
          <cell r="L55">
            <v>1029999</v>
          </cell>
          <cell r="N55">
            <v>865660</v>
          </cell>
          <cell r="Q55">
            <v>8824796</v>
          </cell>
        </row>
        <row r="56">
          <cell r="B56" t="str">
            <v>平成28年度</v>
          </cell>
          <cell r="D56">
            <v>1151093</v>
          </cell>
          <cell r="E56">
            <v>2923691</v>
          </cell>
          <cell r="G56">
            <v>745149</v>
          </cell>
          <cell r="H56">
            <v>562900</v>
          </cell>
          <cell r="J56">
            <v>907283</v>
          </cell>
          <cell r="L56">
            <v>817140</v>
          </cell>
          <cell r="N56">
            <v>912845</v>
          </cell>
          <cell r="Q56">
            <v>8999082</v>
          </cell>
        </row>
        <row r="57">
          <cell r="B57" t="str">
            <v>平成29年度</v>
          </cell>
          <cell r="D57">
            <v>1105514</v>
          </cell>
          <cell r="E57">
            <v>3717156</v>
          </cell>
          <cell r="G57">
            <v>688590</v>
          </cell>
          <cell r="H57">
            <v>459309</v>
          </cell>
          <cell r="J57">
            <v>886539</v>
          </cell>
          <cell r="L57">
            <v>770166</v>
          </cell>
          <cell r="N57">
            <v>934769</v>
          </cell>
          <cell r="Q57">
            <v>9709505</v>
          </cell>
        </row>
        <row r="58">
          <cell r="B58" t="str">
            <v>平成30年度</v>
          </cell>
          <cell r="D58">
            <v>1250853</v>
          </cell>
          <cell r="E58">
            <v>3001641</v>
          </cell>
          <cell r="G58">
            <v>713020</v>
          </cell>
          <cell r="H58">
            <v>467134</v>
          </cell>
          <cell r="J58">
            <v>856911</v>
          </cell>
          <cell r="L58">
            <v>775198</v>
          </cell>
          <cell r="N58">
            <v>915833</v>
          </cell>
          <cell r="Q58">
            <v>9028907</v>
          </cell>
        </row>
        <row r="59">
          <cell r="B59" t="str">
            <v>令和元年度</v>
          </cell>
          <cell r="D59">
            <v>1219260</v>
          </cell>
          <cell r="E59">
            <v>3171245</v>
          </cell>
          <cell r="G59">
            <v>554824</v>
          </cell>
          <cell r="H59">
            <v>498569</v>
          </cell>
          <cell r="J59">
            <v>827162</v>
          </cell>
          <cell r="L59">
            <v>1103115</v>
          </cell>
          <cell r="N59">
            <v>880512</v>
          </cell>
          <cell r="Q59">
            <v>9295564</v>
          </cell>
        </row>
        <row r="60">
          <cell r="B60" t="str">
            <v>令和２年度</v>
          </cell>
          <cell r="D60">
            <v>3716960</v>
          </cell>
          <cell r="E60">
            <v>3552666</v>
          </cell>
          <cell r="G60">
            <v>586728</v>
          </cell>
          <cell r="H60">
            <v>699169</v>
          </cell>
          <cell r="J60">
            <v>938594</v>
          </cell>
          <cell r="L60">
            <v>1142229</v>
          </cell>
          <cell r="N60">
            <v>867096</v>
          </cell>
          <cell r="Q60">
            <v>12716215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0"/>
  <sheetViews>
    <sheetView tabSelected="1" view="pageBreakPreview" zoomScale="130" zoomScaleNormal="100" zoomScaleSheetLayoutView="130" workbookViewId="0">
      <pane xSplit="2" ySplit="4" topLeftCell="C5" activePane="bottomRight" state="frozen"/>
      <selection activeCell="M19" sqref="M19"/>
      <selection pane="topRight" activeCell="M19" sqref="M19"/>
      <selection pane="bottomLeft" activeCell="M19" sqref="M19"/>
      <selection pane="bottomRight" activeCell="B1" sqref="B1"/>
    </sheetView>
  </sheetViews>
  <sheetFormatPr defaultColWidth="9.375" defaultRowHeight="12" x14ac:dyDescent="0.15"/>
  <cols>
    <col min="1" max="1" width="1.25" style="2" customWidth="1"/>
    <col min="2" max="2" width="9.875" style="2" customWidth="1"/>
    <col min="3" max="4" width="8" style="2" customWidth="1"/>
    <col min="5" max="5" width="10.375" style="2" customWidth="1"/>
    <col min="6" max="6" width="9.375" style="2" customWidth="1"/>
    <col min="7" max="7" width="9.25" style="2" customWidth="1"/>
    <col min="8" max="8" width="7.625" style="2" customWidth="1"/>
    <col min="9" max="10" width="9.25" style="2" customWidth="1"/>
    <col min="11" max="13" width="7.625" style="2" customWidth="1"/>
    <col min="14" max="14" width="9.25" style="2" customWidth="1"/>
    <col min="15" max="15" width="6.75" style="2" customWidth="1"/>
    <col min="16" max="17" width="5.875" style="2" customWidth="1"/>
    <col min="18" max="19" width="11.125" style="2" customWidth="1"/>
    <col min="20" max="20" width="1.25" style="2" customWidth="1"/>
    <col min="21" max="21" width="10.25" style="2" customWidth="1"/>
    <col min="22" max="22" width="2.375" style="2" customWidth="1"/>
    <col min="23" max="23" width="8.5" style="2" customWidth="1"/>
    <col min="24" max="16384" width="9.375" style="2"/>
  </cols>
  <sheetData>
    <row r="1" spans="2:23" ht="20.45" customHeight="1" x14ac:dyDescent="0.15">
      <c r="B1" s="1" t="s">
        <v>0</v>
      </c>
    </row>
    <row r="2" spans="2:23" s="8" customFormat="1" x14ac:dyDescent="0.15">
      <c r="B2" s="3" t="s">
        <v>1</v>
      </c>
      <c r="C2" s="4"/>
      <c r="D2" s="5"/>
      <c r="E2" s="6"/>
      <c r="F2" s="6"/>
      <c r="G2" s="3" t="s">
        <v>2</v>
      </c>
      <c r="H2" s="6"/>
      <c r="I2" s="3" t="s">
        <v>3</v>
      </c>
      <c r="J2" s="3" t="s">
        <v>4</v>
      </c>
      <c r="K2" s="3" t="s">
        <v>5</v>
      </c>
      <c r="L2" s="6"/>
      <c r="M2" s="6"/>
      <c r="N2" s="6"/>
      <c r="O2" s="6"/>
      <c r="P2" s="6"/>
      <c r="Q2" s="6" t="s">
        <v>6</v>
      </c>
      <c r="R2" s="7" t="s">
        <v>7</v>
      </c>
      <c r="S2" s="7" t="s">
        <v>8</v>
      </c>
      <c r="W2" s="9"/>
    </row>
    <row r="3" spans="2:23" s="8" customFormat="1" x14ac:dyDescent="0.15">
      <c r="B3" s="10"/>
      <c r="C3" s="11" t="s">
        <v>9</v>
      </c>
      <c r="D3" s="12"/>
      <c r="E3" s="13" t="s">
        <v>10</v>
      </c>
      <c r="F3" s="13" t="s">
        <v>11</v>
      </c>
      <c r="G3" s="10"/>
      <c r="H3" s="14" t="s">
        <v>12</v>
      </c>
      <c r="I3" s="10"/>
      <c r="J3" s="10"/>
      <c r="K3" s="10"/>
      <c r="L3" s="13" t="s">
        <v>13</v>
      </c>
      <c r="M3" s="13" t="s">
        <v>5</v>
      </c>
      <c r="N3" s="14" t="s">
        <v>14</v>
      </c>
      <c r="O3" s="14" t="s">
        <v>15</v>
      </c>
      <c r="P3" s="14" t="s">
        <v>16</v>
      </c>
      <c r="Q3" s="14" t="s">
        <v>16</v>
      </c>
      <c r="R3" s="15"/>
      <c r="S3" s="15"/>
      <c r="U3" s="8" t="s">
        <v>17</v>
      </c>
      <c r="W3" s="9"/>
    </row>
    <row r="4" spans="2:23" s="8" customFormat="1" x14ac:dyDescent="0.15">
      <c r="B4" s="16"/>
      <c r="C4" s="17"/>
      <c r="D4" s="17" t="s">
        <v>18</v>
      </c>
      <c r="E4" s="18"/>
      <c r="F4" s="18"/>
      <c r="G4" s="16"/>
      <c r="H4" s="17" t="s">
        <v>19</v>
      </c>
      <c r="I4" s="16"/>
      <c r="J4" s="16"/>
      <c r="K4" s="16"/>
      <c r="L4" s="17" t="s">
        <v>20</v>
      </c>
      <c r="M4" s="17" t="s">
        <v>21</v>
      </c>
      <c r="N4" s="17" t="s">
        <v>22</v>
      </c>
      <c r="O4" s="17" t="s">
        <v>23</v>
      </c>
      <c r="P4" s="18" t="s">
        <v>24</v>
      </c>
      <c r="Q4" s="18" t="s">
        <v>24</v>
      </c>
      <c r="R4" s="19"/>
      <c r="S4" s="19"/>
      <c r="W4" s="9"/>
    </row>
    <row r="5" spans="2:23" s="31" customFormat="1" x14ac:dyDescent="0.15">
      <c r="B5" s="20" t="s">
        <v>25</v>
      </c>
      <c r="C5" s="21">
        <v>16843</v>
      </c>
      <c r="D5" s="22"/>
      <c r="E5" s="21">
        <v>297395</v>
      </c>
      <c r="F5" s="21">
        <v>297219</v>
      </c>
      <c r="G5" s="21">
        <v>176</v>
      </c>
      <c r="H5" s="23" t="s">
        <v>26</v>
      </c>
      <c r="I5" s="21">
        <v>176</v>
      </c>
      <c r="J5" s="21">
        <v>3979</v>
      </c>
      <c r="K5" s="24" t="s">
        <v>27</v>
      </c>
      <c r="L5" s="24" t="s">
        <v>27</v>
      </c>
      <c r="M5" s="24" t="s">
        <v>27</v>
      </c>
      <c r="N5" s="21">
        <v>3979</v>
      </c>
      <c r="O5" s="25">
        <v>0.1</v>
      </c>
      <c r="P5" s="26">
        <v>2</v>
      </c>
      <c r="Q5" s="27" t="str">
        <f>長期債資料!R5</f>
        <v>-</v>
      </c>
      <c r="R5" s="21">
        <v>87673</v>
      </c>
      <c r="S5" s="28">
        <v>131604</v>
      </c>
      <c r="T5" s="29"/>
      <c r="U5" s="30">
        <f t="shared" ref="U5:U12" si="0">J5-N5</f>
        <v>0</v>
      </c>
      <c r="W5" s="2"/>
    </row>
    <row r="6" spans="2:23" s="31" customFormat="1" x14ac:dyDescent="0.15">
      <c r="B6" s="32" t="s">
        <v>28</v>
      </c>
      <c r="C6" s="33">
        <v>16764</v>
      </c>
      <c r="D6" s="34"/>
      <c r="E6" s="33">
        <v>356676</v>
      </c>
      <c r="F6" s="33">
        <v>356188</v>
      </c>
      <c r="G6" s="33">
        <v>488</v>
      </c>
      <c r="H6" s="35" t="s">
        <v>26</v>
      </c>
      <c r="I6" s="33">
        <v>488</v>
      </c>
      <c r="J6" s="33">
        <v>312</v>
      </c>
      <c r="K6" s="36" t="s">
        <v>27</v>
      </c>
      <c r="L6" s="36" t="s">
        <v>27</v>
      </c>
      <c r="M6" s="36" t="s">
        <v>27</v>
      </c>
      <c r="N6" s="33">
        <v>312</v>
      </c>
      <c r="O6" s="37">
        <v>0.3</v>
      </c>
      <c r="P6" s="38">
        <v>5.4</v>
      </c>
      <c r="Q6" s="27" t="str">
        <f>長期債資料!R6</f>
        <v>-</v>
      </c>
      <c r="R6" s="33">
        <v>138947</v>
      </c>
      <c r="S6" s="39">
        <v>152504</v>
      </c>
      <c r="T6" s="29"/>
      <c r="U6" s="30">
        <f t="shared" si="0"/>
        <v>0</v>
      </c>
      <c r="W6" s="2"/>
    </row>
    <row r="7" spans="2:23" s="31" customFormat="1" x14ac:dyDescent="0.15">
      <c r="B7" s="32" t="s">
        <v>29</v>
      </c>
      <c r="C7" s="33">
        <v>16971</v>
      </c>
      <c r="D7" s="34"/>
      <c r="E7" s="33">
        <v>390082</v>
      </c>
      <c r="F7" s="33">
        <v>389543</v>
      </c>
      <c r="G7" s="33">
        <v>539</v>
      </c>
      <c r="H7" s="35" t="s">
        <v>26</v>
      </c>
      <c r="I7" s="33">
        <v>539</v>
      </c>
      <c r="J7" s="33">
        <v>51</v>
      </c>
      <c r="K7" s="36" t="s">
        <v>27</v>
      </c>
      <c r="L7" s="36" t="s">
        <v>27</v>
      </c>
      <c r="M7" s="36">
        <v>1</v>
      </c>
      <c r="N7" s="33">
        <v>51</v>
      </c>
      <c r="O7" s="37">
        <v>0.3</v>
      </c>
      <c r="P7" s="38">
        <v>6.3</v>
      </c>
      <c r="Q7" s="27" t="str">
        <f>長期債資料!R7</f>
        <v>-</v>
      </c>
      <c r="R7" s="33">
        <v>181096</v>
      </c>
      <c r="S7" s="39">
        <v>177576</v>
      </c>
      <c r="T7" s="29"/>
      <c r="U7" s="30">
        <f t="shared" si="0"/>
        <v>0</v>
      </c>
      <c r="W7" s="2"/>
    </row>
    <row r="8" spans="2:23" s="31" customFormat="1" x14ac:dyDescent="0.15">
      <c r="B8" s="32" t="s">
        <v>30</v>
      </c>
      <c r="C8" s="33">
        <v>16811</v>
      </c>
      <c r="D8" s="34"/>
      <c r="E8" s="33">
        <v>403529</v>
      </c>
      <c r="F8" s="33">
        <v>402012</v>
      </c>
      <c r="G8" s="33">
        <v>1517</v>
      </c>
      <c r="H8" s="35" t="s">
        <v>26</v>
      </c>
      <c r="I8" s="33">
        <v>1517</v>
      </c>
      <c r="J8" s="33">
        <v>978</v>
      </c>
      <c r="K8" s="36" t="s">
        <v>27</v>
      </c>
      <c r="L8" s="36" t="s">
        <v>27</v>
      </c>
      <c r="M8" s="36">
        <v>3</v>
      </c>
      <c r="N8" s="33">
        <v>978</v>
      </c>
      <c r="O8" s="37">
        <v>0.7</v>
      </c>
      <c r="P8" s="38">
        <v>6.9</v>
      </c>
      <c r="Q8" s="27" t="str">
        <f>長期債資料!R8</f>
        <v>-</v>
      </c>
      <c r="R8" s="33">
        <v>189100</v>
      </c>
      <c r="S8" s="39">
        <v>222555</v>
      </c>
      <c r="T8" s="29"/>
      <c r="U8" s="30">
        <f t="shared" si="0"/>
        <v>0</v>
      </c>
      <c r="W8" s="2"/>
    </row>
    <row r="9" spans="2:23" s="31" customFormat="1" x14ac:dyDescent="0.15">
      <c r="B9" s="32" t="s">
        <v>31</v>
      </c>
      <c r="C9" s="33">
        <v>16842</v>
      </c>
      <c r="D9" s="34"/>
      <c r="E9" s="33">
        <v>506777</v>
      </c>
      <c r="F9" s="33">
        <v>500303</v>
      </c>
      <c r="G9" s="33">
        <v>6474</v>
      </c>
      <c r="H9" s="35" t="s">
        <v>26</v>
      </c>
      <c r="I9" s="33">
        <v>6474</v>
      </c>
      <c r="J9" s="33">
        <v>4957</v>
      </c>
      <c r="K9" s="36" t="s">
        <v>27</v>
      </c>
      <c r="L9" s="36" t="s">
        <v>27</v>
      </c>
      <c r="M9" s="36">
        <v>5</v>
      </c>
      <c r="N9" s="33">
        <v>4957</v>
      </c>
      <c r="O9" s="37">
        <v>2.4</v>
      </c>
      <c r="P9" s="38">
        <v>6.1</v>
      </c>
      <c r="Q9" s="27" t="str">
        <f>長期債資料!R9</f>
        <v>-</v>
      </c>
      <c r="R9" s="33">
        <v>211093</v>
      </c>
      <c r="S9" s="39">
        <v>271208</v>
      </c>
      <c r="T9" s="29"/>
      <c r="U9" s="30">
        <f t="shared" si="0"/>
        <v>0</v>
      </c>
      <c r="W9" s="2"/>
    </row>
    <row r="10" spans="2:23" s="31" customFormat="1" x14ac:dyDescent="0.15">
      <c r="B10" s="32" t="s">
        <v>32</v>
      </c>
      <c r="C10" s="33">
        <v>16711</v>
      </c>
      <c r="D10" s="34"/>
      <c r="E10" s="33">
        <v>623527</v>
      </c>
      <c r="F10" s="33">
        <v>621002</v>
      </c>
      <c r="G10" s="33">
        <v>2525</v>
      </c>
      <c r="H10" s="35" t="s">
        <v>26</v>
      </c>
      <c r="I10" s="33">
        <v>2525</v>
      </c>
      <c r="J10" s="33">
        <v>-3949</v>
      </c>
      <c r="K10" s="36" t="s">
        <v>27</v>
      </c>
      <c r="L10" s="36" t="s">
        <v>27</v>
      </c>
      <c r="M10" s="36">
        <v>7</v>
      </c>
      <c r="N10" s="33">
        <v>-3949</v>
      </c>
      <c r="O10" s="37">
        <v>0.7</v>
      </c>
      <c r="P10" s="38">
        <v>5.9</v>
      </c>
      <c r="Q10" s="27" t="str">
        <f>長期債資料!R10</f>
        <v>-</v>
      </c>
      <c r="R10" s="33">
        <v>235870</v>
      </c>
      <c r="S10" s="39">
        <v>336104</v>
      </c>
      <c r="T10" s="29"/>
      <c r="U10" s="30">
        <f t="shared" si="0"/>
        <v>0</v>
      </c>
      <c r="W10" s="2"/>
    </row>
    <row r="11" spans="2:23" s="31" customFormat="1" x14ac:dyDescent="0.15">
      <c r="B11" s="32" t="s">
        <v>33</v>
      </c>
      <c r="C11" s="33">
        <v>16711</v>
      </c>
      <c r="D11" s="34"/>
      <c r="E11" s="33">
        <v>983364</v>
      </c>
      <c r="F11" s="33">
        <v>982055</v>
      </c>
      <c r="G11" s="33">
        <v>1309</v>
      </c>
      <c r="H11" s="35" t="s">
        <v>26</v>
      </c>
      <c r="I11" s="33">
        <v>1309</v>
      </c>
      <c r="J11" s="33">
        <v>-1216</v>
      </c>
      <c r="K11" s="36" t="s">
        <v>27</v>
      </c>
      <c r="L11" s="36" t="s">
        <v>27</v>
      </c>
      <c r="M11" s="36">
        <v>9</v>
      </c>
      <c r="N11" s="33">
        <v>-1216</v>
      </c>
      <c r="O11" s="37">
        <v>0.3</v>
      </c>
      <c r="P11" s="38">
        <v>5.5</v>
      </c>
      <c r="Q11" s="27" t="str">
        <f>長期債資料!R11</f>
        <v>-</v>
      </c>
      <c r="R11" s="33">
        <v>390124</v>
      </c>
      <c r="S11" s="39">
        <v>443442</v>
      </c>
      <c r="T11" s="29"/>
      <c r="U11" s="30">
        <f t="shared" si="0"/>
        <v>0</v>
      </c>
      <c r="W11" s="2"/>
    </row>
    <row r="12" spans="2:23" s="31" customFormat="1" x14ac:dyDescent="0.15">
      <c r="B12" s="32" t="s">
        <v>34</v>
      </c>
      <c r="C12" s="33">
        <v>16887</v>
      </c>
      <c r="D12" s="34"/>
      <c r="E12" s="33">
        <v>1318979</v>
      </c>
      <c r="F12" s="33">
        <v>1316001</v>
      </c>
      <c r="G12" s="33">
        <v>2978</v>
      </c>
      <c r="H12" s="35" t="s">
        <v>26</v>
      </c>
      <c r="I12" s="33">
        <v>2978</v>
      </c>
      <c r="J12" s="33">
        <v>1669</v>
      </c>
      <c r="K12" s="36" t="s">
        <v>27</v>
      </c>
      <c r="L12" s="36" t="s">
        <v>27</v>
      </c>
      <c r="M12" s="36">
        <v>11</v>
      </c>
      <c r="N12" s="33">
        <v>1669</v>
      </c>
      <c r="O12" s="37">
        <v>0.6</v>
      </c>
      <c r="P12" s="38">
        <v>8</v>
      </c>
      <c r="Q12" s="27" t="str">
        <f>長期債資料!R12</f>
        <v>-</v>
      </c>
      <c r="R12" s="33">
        <v>692160</v>
      </c>
      <c r="S12" s="39">
        <v>507605</v>
      </c>
      <c r="T12" s="29"/>
      <c r="U12" s="30">
        <f t="shared" si="0"/>
        <v>0</v>
      </c>
      <c r="W12" s="2"/>
    </row>
    <row r="13" spans="2:23" s="31" customFormat="1" x14ac:dyDescent="0.15">
      <c r="B13" s="32" t="s">
        <v>35</v>
      </c>
      <c r="C13" s="33">
        <v>17239</v>
      </c>
      <c r="D13" s="34"/>
      <c r="E13" s="33">
        <v>1283527</v>
      </c>
      <c r="F13" s="33">
        <v>1280043</v>
      </c>
      <c r="G13" s="33">
        <v>3484</v>
      </c>
      <c r="H13" s="35" t="s">
        <v>26</v>
      </c>
      <c r="I13" s="33">
        <v>3484</v>
      </c>
      <c r="J13" s="33">
        <v>506</v>
      </c>
      <c r="K13" s="36" t="s">
        <v>27</v>
      </c>
      <c r="L13" s="36" t="s">
        <v>27</v>
      </c>
      <c r="M13" s="36">
        <v>13</v>
      </c>
      <c r="N13" s="33">
        <v>506</v>
      </c>
      <c r="O13" s="37">
        <v>0.6</v>
      </c>
      <c r="P13" s="38">
        <v>12.1</v>
      </c>
      <c r="Q13" s="27" t="str">
        <f>長期債資料!R13</f>
        <v>-</v>
      </c>
      <c r="R13" s="33">
        <v>801531</v>
      </c>
      <c r="S13" s="39">
        <v>598914</v>
      </c>
      <c r="T13" s="29"/>
      <c r="U13" s="30">
        <f>J13-N13</f>
        <v>0</v>
      </c>
      <c r="W13" s="2"/>
    </row>
    <row r="14" spans="2:23" s="31" customFormat="1" x14ac:dyDescent="0.15">
      <c r="B14" s="32" t="s">
        <v>36</v>
      </c>
      <c r="C14" s="33">
        <v>17576</v>
      </c>
      <c r="D14" s="34"/>
      <c r="E14" s="33">
        <v>1876983</v>
      </c>
      <c r="F14" s="33">
        <v>1873223</v>
      </c>
      <c r="G14" s="33">
        <v>3760</v>
      </c>
      <c r="H14" s="35" t="s">
        <v>26</v>
      </c>
      <c r="I14" s="33">
        <v>3760</v>
      </c>
      <c r="J14" s="33">
        <v>276</v>
      </c>
      <c r="K14" s="36" t="s">
        <v>27</v>
      </c>
      <c r="L14" s="36" t="s">
        <v>27</v>
      </c>
      <c r="M14" s="36">
        <v>15</v>
      </c>
      <c r="N14" s="33">
        <v>276</v>
      </c>
      <c r="O14" s="37">
        <v>0.5</v>
      </c>
      <c r="P14" s="38">
        <v>12.6999999999999</v>
      </c>
      <c r="Q14" s="27" t="str">
        <f>長期債資料!R14</f>
        <v>-</v>
      </c>
      <c r="R14" s="33">
        <v>993244</v>
      </c>
      <c r="S14" s="39">
        <v>825373</v>
      </c>
      <c r="T14" s="29"/>
      <c r="U14" s="30">
        <f>J14-N14</f>
        <v>0</v>
      </c>
      <c r="W14" s="2"/>
    </row>
    <row r="15" spans="2:23" s="31" customFormat="1" x14ac:dyDescent="0.15">
      <c r="B15" s="32" t="s">
        <v>37</v>
      </c>
      <c r="C15" s="33">
        <v>17936</v>
      </c>
      <c r="D15" s="34"/>
      <c r="E15" s="33">
        <v>1751585</v>
      </c>
      <c r="F15" s="33">
        <v>1744713</v>
      </c>
      <c r="G15" s="33">
        <v>6872</v>
      </c>
      <c r="H15" s="35" t="s">
        <v>26</v>
      </c>
      <c r="I15" s="33">
        <v>6872</v>
      </c>
      <c r="J15" s="33">
        <v>3112</v>
      </c>
      <c r="K15" s="36" t="s">
        <v>27</v>
      </c>
      <c r="L15" s="36" t="s">
        <v>27</v>
      </c>
      <c r="M15" s="36">
        <v>16</v>
      </c>
      <c r="N15" s="33">
        <v>3112</v>
      </c>
      <c r="O15" s="37">
        <v>0.7</v>
      </c>
      <c r="P15" s="38">
        <v>14.5</v>
      </c>
      <c r="Q15" s="27" t="str">
        <f>長期債資料!R15</f>
        <v>-</v>
      </c>
      <c r="R15" s="33">
        <v>1063906</v>
      </c>
      <c r="S15" s="39">
        <v>928931</v>
      </c>
      <c r="T15" s="29"/>
      <c r="U15" s="30">
        <f>J15-N15</f>
        <v>0</v>
      </c>
      <c r="W15" s="2"/>
    </row>
    <row r="16" spans="2:23" s="31" customFormat="1" x14ac:dyDescent="0.15">
      <c r="B16" s="32" t="s">
        <v>38</v>
      </c>
      <c r="C16" s="33">
        <v>18566</v>
      </c>
      <c r="D16" s="34"/>
      <c r="E16" s="33">
        <v>2153197</v>
      </c>
      <c r="F16" s="33">
        <v>2121506</v>
      </c>
      <c r="G16" s="33">
        <v>31691</v>
      </c>
      <c r="H16" s="35" t="s">
        <v>26</v>
      </c>
      <c r="I16" s="33">
        <v>31691</v>
      </c>
      <c r="J16" s="33">
        <v>24819</v>
      </c>
      <c r="K16" s="33">
        <v>20000</v>
      </c>
      <c r="L16" s="36" t="s">
        <v>27</v>
      </c>
      <c r="M16" s="36">
        <v>17</v>
      </c>
      <c r="N16" s="33">
        <v>44819</v>
      </c>
      <c r="O16" s="37">
        <v>3</v>
      </c>
      <c r="P16" s="38">
        <v>15.3</v>
      </c>
      <c r="Q16" s="27" t="str">
        <f>長期債資料!R16</f>
        <v>-</v>
      </c>
      <c r="R16" s="33">
        <v>1221486</v>
      </c>
      <c r="S16" s="39">
        <v>1068956</v>
      </c>
      <c r="T16" s="29"/>
      <c r="U16" s="30">
        <f>J16+K16-N16</f>
        <v>0</v>
      </c>
      <c r="W16" s="2"/>
    </row>
    <row r="17" spans="2:23" s="31" customFormat="1" x14ac:dyDescent="0.15">
      <c r="B17" s="32" t="s">
        <v>39</v>
      </c>
      <c r="C17" s="33">
        <v>18953</v>
      </c>
      <c r="D17" s="34"/>
      <c r="E17" s="33">
        <v>2621661</v>
      </c>
      <c r="F17" s="33">
        <v>2586410</v>
      </c>
      <c r="G17" s="33">
        <v>35251</v>
      </c>
      <c r="H17" s="35" t="s">
        <v>26</v>
      </c>
      <c r="I17" s="33">
        <v>35251</v>
      </c>
      <c r="J17" s="33">
        <v>3560</v>
      </c>
      <c r="K17" s="33">
        <v>30000</v>
      </c>
      <c r="L17" s="36" t="s">
        <v>27</v>
      </c>
      <c r="M17" s="36">
        <v>19</v>
      </c>
      <c r="N17" s="33">
        <v>33560</v>
      </c>
      <c r="O17" s="37">
        <v>2.9</v>
      </c>
      <c r="P17" s="38">
        <v>13.9</v>
      </c>
      <c r="Q17" s="27" t="str">
        <f>長期債資料!R17</f>
        <v>-</v>
      </c>
      <c r="R17" s="33">
        <v>1407873</v>
      </c>
      <c r="S17" s="39">
        <v>1208521</v>
      </c>
      <c r="T17" s="29"/>
      <c r="U17" s="30">
        <f>J17+K17-N17</f>
        <v>0</v>
      </c>
      <c r="W17" s="2"/>
    </row>
    <row r="18" spans="2:23" s="31" customFormat="1" x14ac:dyDescent="0.15">
      <c r="B18" s="32" t="s">
        <v>40</v>
      </c>
      <c r="C18" s="33">
        <v>19394</v>
      </c>
      <c r="D18" s="34"/>
      <c r="E18" s="33">
        <v>3191464</v>
      </c>
      <c r="F18" s="33">
        <v>3341991</v>
      </c>
      <c r="G18" s="33">
        <v>-150527</v>
      </c>
      <c r="H18" s="35" t="s">
        <v>26</v>
      </c>
      <c r="I18" s="33">
        <v>-150527</v>
      </c>
      <c r="J18" s="33">
        <v>-185778</v>
      </c>
      <c r="K18" s="33">
        <v>330</v>
      </c>
      <c r="L18" s="36" t="s">
        <v>27</v>
      </c>
      <c r="M18" s="33">
        <v>21</v>
      </c>
      <c r="N18" s="33">
        <v>-235448</v>
      </c>
      <c r="O18" s="37">
        <v>-10.5</v>
      </c>
      <c r="P18" s="38">
        <v>13.6</v>
      </c>
      <c r="Q18" s="27" t="str">
        <f>長期債資料!R18</f>
        <v>-</v>
      </c>
      <c r="R18" s="33">
        <v>1672777</v>
      </c>
      <c r="S18" s="39">
        <v>1436914</v>
      </c>
      <c r="T18" s="29"/>
      <c r="U18" s="30">
        <f>J18+K18-M18-N18</f>
        <v>49979</v>
      </c>
      <c r="W18" s="2"/>
    </row>
    <row r="19" spans="2:23" s="31" customFormat="1" x14ac:dyDescent="0.15">
      <c r="B19" s="32" t="s">
        <v>41</v>
      </c>
      <c r="C19" s="33">
        <v>19673</v>
      </c>
      <c r="D19" s="34"/>
      <c r="E19" s="33">
        <v>3176973</v>
      </c>
      <c r="F19" s="33">
        <v>3296516</v>
      </c>
      <c r="G19" s="33">
        <v>-119543</v>
      </c>
      <c r="H19" s="35" t="s">
        <v>26</v>
      </c>
      <c r="I19" s="33">
        <v>-119543</v>
      </c>
      <c r="J19" s="33">
        <v>30984</v>
      </c>
      <c r="K19" s="36" t="s">
        <v>27</v>
      </c>
      <c r="L19" s="36" t="s">
        <v>27</v>
      </c>
      <c r="M19" s="33">
        <v>330</v>
      </c>
      <c r="N19" s="33">
        <v>30654</v>
      </c>
      <c r="O19" s="37">
        <v>-7.4</v>
      </c>
      <c r="P19" s="38">
        <v>12.5</v>
      </c>
      <c r="Q19" s="27" t="str">
        <f>長期債資料!R19</f>
        <v>-</v>
      </c>
      <c r="R19" s="33">
        <v>1939424</v>
      </c>
      <c r="S19" s="39">
        <v>1618523</v>
      </c>
      <c r="T19" s="29"/>
      <c r="U19" s="30">
        <f>J19-M19-N19</f>
        <v>0</v>
      </c>
      <c r="W19" s="2"/>
    </row>
    <row r="20" spans="2:23" s="31" customFormat="1" x14ac:dyDescent="0.15">
      <c r="B20" s="32" t="s">
        <v>42</v>
      </c>
      <c r="C20" s="33">
        <v>20169</v>
      </c>
      <c r="D20" s="34"/>
      <c r="E20" s="33">
        <v>2899578</v>
      </c>
      <c r="F20" s="33">
        <v>2863219</v>
      </c>
      <c r="G20" s="33">
        <v>36359</v>
      </c>
      <c r="H20" s="35" t="s">
        <v>26</v>
      </c>
      <c r="I20" s="33">
        <v>36359</v>
      </c>
      <c r="J20" s="33">
        <v>155902</v>
      </c>
      <c r="K20" s="36" t="s">
        <v>27</v>
      </c>
      <c r="L20" s="36" t="s">
        <v>27</v>
      </c>
      <c r="M20" s="36" t="s">
        <v>27</v>
      </c>
      <c r="N20" s="33">
        <v>155902</v>
      </c>
      <c r="O20" s="37">
        <v>2.1</v>
      </c>
      <c r="P20" s="38">
        <v>9.3000000000000007</v>
      </c>
      <c r="Q20" s="27" t="str">
        <f>長期債資料!R20</f>
        <v>-</v>
      </c>
      <c r="R20" s="33">
        <v>1862625</v>
      </c>
      <c r="S20" s="39">
        <v>1741392</v>
      </c>
      <c r="T20" s="29"/>
      <c r="U20" s="30">
        <f>J20-N20</f>
        <v>0</v>
      </c>
      <c r="W20" s="2"/>
    </row>
    <row r="21" spans="2:23" s="31" customFormat="1" x14ac:dyDescent="0.15">
      <c r="B21" s="32" t="s">
        <v>43</v>
      </c>
      <c r="C21" s="33">
        <v>20597</v>
      </c>
      <c r="D21" s="34"/>
      <c r="E21" s="33">
        <v>3609291</v>
      </c>
      <c r="F21" s="33">
        <v>3512321</v>
      </c>
      <c r="G21" s="33">
        <v>96970</v>
      </c>
      <c r="H21" s="35" t="s">
        <v>26</v>
      </c>
      <c r="I21" s="33">
        <v>96970</v>
      </c>
      <c r="J21" s="33">
        <v>60611</v>
      </c>
      <c r="K21" s="33">
        <v>170000</v>
      </c>
      <c r="L21" s="36" t="s">
        <v>27</v>
      </c>
      <c r="M21" s="36" t="s">
        <v>27</v>
      </c>
      <c r="N21" s="33">
        <v>230611</v>
      </c>
      <c r="O21" s="37">
        <v>4.9000000000000004</v>
      </c>
      <c r="P21" s="38">
        <v>9.1999999999999904</v>
      </c>
      <c r="Q21" s="27" t="str">
        <f>長期債資料!R21</f>
        <v>-</v>
      </c>
      <c r="R21" s="33">
        <v>2041428</v>
      </c>
      <c r="S21" s="39">
        <v>1986896</v>
      </c>
      <c r="T21" s="29"/>
      <c r="U21" s="30">
        <f>J21+K21-N21</f>
        <v>0</v>
      </c>
      <c r="W21" s="2"/>
    </row>
    <row r="22" spans="2:23" s="31" customFormat="1" x14ac:dyDescent="0.15">
      <c r="B22" s="32" t="s">
        <v>44</v>
      </c>
      <c r="C22" s="33">
        <v>20911</v>
      </c>
      <c r="D22" s="34"/>
      <c r="E22" s="33">
        <v>4536193</v>
      </c>
      <c r="F22" s="33">
        <v>4420325</v>
      </c>
      <c r="G22" s="33">
        <v>115868</v>
      </c>
      <c r="H22" s="35" t="s">
        <v>26</v>
      </c>
      <c r="I22" s="33">
        <v>115868</v>
      </c>
      <c r="J22" s="33">
        <v>18898</v>
      </c>
      <c r="K22" s="33">
        <v>9790</v>
      </c>
      <c r="L22" s="33">
        <v>307</v>
      </c>
      <c r="M22" s="33">
        <v>107000</v>
      </c>
      <c r="N22" s="33">
        <v>-78005</v>
      </c>
      <c r="O22" s="37">
        <v>5.0999999999999996</v>
      </c>
      <c r="P22" s="38">
        <v>9.1999999999999904</v>
      </c>
      <c r="Q22" s="27" t="str">
        <f>長期債資料!R22</f>
        <v>-</v>
      </c>
      <c r="R22" s="33">
        <v>2664140</v>
      </c>
      <c r="S22" s="39">
        <v>2275154</v>
      </c>
      <c r="T22" s="29"/>
      <c r="U22" s="30">
        <f>J22+K22+L22-M22-N22</f>
        <v>0</v>
      </c>
      <c r="W22" s="2"/>
    </row>
    <row r="23" spans="2:23" s="31" customFormat="1" x14ac:dyDescent="0.15">
      <c r="B23" s="32" t="s">
        <v>45</v>
      </c>
      <c r="C23" s="33">
        <v>21140</v>
      </c>
      <c r="D23" s="34"/>
      <c r="E23" s="33">
        <v>4097285</v>
      </c>
      <c r="F23" s="33">
        <v>4042022</v>
      </c>
      <c r="G23" s="33">
        <v>55263</v>
      </c>
      <c r="H23" s="33">
        <v>10611</v>
      </c>
      <c r="I23" s="33">
        <v>44652</v>
      </c>
      <c r="J23" s="33">
        <v>-71216</v>
      </c>
      <c r="K23" s="33">
        <v>5168</v>
      </c>
      <c r="L23" s="36" t="s">
        <v>27</v>
      </c>
      <c r="M23" s="33">
        <v>127045</v>
      </c>
      <c r="N23" s="33">
        <v>-193093</v>
      </c>
      <c r="O23" s="37">
        <v>1.9</v>
      </c>
      <c r="P23" s="38">
        <v>10.4</v>
      </c>
      <c r="Q23" s="27" t="str">
        <f>長期債資料!R23</f>
        <v>-</v>
      </c>
      <c r="R23" s="33">
        <v>2547984</v>
      </c>
      <c r="S23" s="39">
        <v>2396594</v>
      </c>
      <c r="T23" s="29"/>
      <c r="U23" s="30">
        <f>J23+K23-M23-N23</f>
        <v>0</v>
      </c>
      <c r="W23" s="2"/>
    </row>
    <row r="24" spans="2:23" s="31" customFormat="1" x14ac:dyDescent="0.15">
      <c r="B24" s="32" t="s">
        <v>46</v>
      </c>
      <c r="C24" s="33">
        <v>21389</v>
      </c>
      <c r="D24" s="34"/>
      <c r="E24" s="33">
        <v>3793512</v>
      </c>
      <c r="F24" s="33">
        <v>3666722</v>
      </c>
      <c r="G24" s="33">
        <v>126790</v>
      </c>
      <c r="H24" s="33">
        <v>3772</v>
      </c>
      <c r="I24" s="33">
        <v>123018</v>
      </c>
      <c r="J24" s="33">
        <v>78366</v>
      </c>
      <c r="K24" s="33">
        <v>116043</v>
      </c>
      <c r="L24" s="36" t="s">
        <v>27</v>
      </c>
      <c r="M24" s="36" t="s">
        <v>27</v>
      </c>
      <c r="N24" s="33">
        <v>194409</v>
      </c>
      <c r="O24" s="37">
        <v>5.0999999999999996</v>
      </c>
      <c r="P24" s="38">
        <v>10.8</v>
      </c>
      <c r="Q24" s="27" t="str">
        <f>長期債資料!R24</f>
        <v>-</v>
      </c>
      <c r="R24" s="33">
        <v>2423006</v>
      </c>
      <c r="S24" s="39">
        <v>2422918</v>
      </c>
      <c r="T24" s="29"/>
      <c r="U24" s="30">
        <f>J24+K24-N24</f>
        <v>0</v>
      </c>
      <c r="W24" s="2"/>
    </row>
    <row r="25" spans="2:23" s="31" customFormat="1" x14ac:dyDescent="0.15">
      <c r="B25" s="32" t="s">
        <v>47</v>
      </c>
      <c r="C25" s="33">
        <v>21748</v>
      </c>
      <c r="D25" s="34"/>
      <c r="E25" s="33">
        <v>4059029</v>
      </c>
      <c r="F25" s="33">
        <v>3937919</v>
      </c>
      <c r="G25" s="33">
        <v>121110</v>
      </c>
      <c r="H25" s="33">
        <v>4971</v>
      </c>
      <c r="I25" s="33">
        <v>116139</v>
      </c>
      <c r="J25" s="33">
        <v>-6879</v>
      </c>
      <c r="K25" s="33">
        <v>55216</v>
      </c>
      <c r="L25" s="36" t="s">
        <v>27</v>
      </c>
      <c r="M25" s="36" t="s">
        <v>27</v>
      </c>
      <c r="N25" s="33">
        <v>48337</v>
      </c>
      <c r="O25" s="37">
        <v>4.3</v>
      </c>
      <c r="P25" s="38">
        <v>10.1999999999999</v>
      </c>
      <c r="Q25" s="27" t="str">
        <f>長期債資料!R25</f>
        <v>-</v>
      </c>
      <c r="R25" s="33">
        <v>2500100</v>
      </c>
      <c r="S25" s="39">
        <v>2697138</v>
      </c>
      <c r="T25" s="29"/>
      <c r="U25" s="30">
        <f>J25+K25-N25</f>
        <v>0</v>
      </c>
      <c r="W25" s="2"/>
    </row>
    <row r="26" spans="2:23" s="31" customFormat="1" x14ac:dyDescent="0.15">
      <c r="B26" s="32" t="s">
        <v>48</v>
      </c>
      <c r="C26" s="33">
        <v>21980</v>
      </c>
      <c r="D26" s="34"/>
      <c r="E26" s="33">
        <v>4464988</v>
      </c>
      <c r="F26" s="33">
        <v>4297258</v>
      </c>
      <c r="G26" s="33">
        <v>167730</v>
      </c>
      <c r="H26" s="33">
        <v>15790</v>
      </c>
      <c r="I26" s="33">
        <v>151940</v>
      </c>
      <c r="J26" s="33">
        <v>35801</v>
      </c>
      <c r="K26" s="33">
        <v>95980</v>
      </c>
      <c r="L26" s="36" t="s">
        <v>27</v>
      </c>
      <c r="M26" s="36" t="s">
        <v>27</v>
      </c>
      <c r="N26" s="33">
        <v>131781</v>
      </c>
      <c r="O26" s="37">
        <v>5.3</v>
      </c>
      <c r="P26" s="38">
        <v>9.8000000000000007</v>
      </c>
      <c r="Q26" s="27" t="str">
        <f>長期債資料!R26</f>
        <v>-</v>
      </c>
      <c r="R26" s="40">
        <v>2639329</v>
      </c>
      <c r="S26" s="39">
        <v>2892986</v>
      </c>
      <c r="T26" s="29"/>
      <c r="U26" s="30">
        <f>J26+K26-N26</f>
        <v>0</v>
      </c>
      <c r="W26" s="2"/>
    </row>
    <row r="27" spans="2:23" s="31" customFormat="1" x14ac:dyDescent="0.15">
      <c r="B27" s="32" t="s">
        <v>49</v>
      </c>
      <c r="C27" s="33">
        <v>22094</v>
      </c>
      <c r="D27" s="34"/>
      <c r="E27" s="33">
        <v>4829682</v>
      </c>
      <c r="F27" s="33">
        <v>4683977</v>
      </c>
      <c r="G27" s="33">
        <v>145705</v>
      </c>
      <c r="H27" s="33">
        <v>2580</v>
      </c>
      <c r="I27" s="33">
        <v>143125</v>
      </c>
      <c r="J27" s="33">
        <v>-8815</v>
      </c>
      <c r="K27" s="33">
        <v>60970</v>
      </c>
      <c r="L27" s="36" t="s">
        <v>27</v>
      </c>
      <c r="M27" s="36" t="s">
        <v>27</v>
      </c>
      <c r="N27" s="33">
        <v>52155</v>
      </c>
      <c r="O27" s="37">
        <v>4.9000000000000004</v>
      </c>
      <c r="P27" s="38">
        <v>9.9</v>
      </c>
      <c r="Q27" s="27" t="str">
        <f>長期債資料!R27</f>
        <v>-</v>
      </c>
      <c r="R27" s="33">
        <v>2922237</v>
      </c>
      <c r="S27" s="39">
        <v>2946619</v>
      </c>
      <c r="T27" s="29"/>
      <c r="U27" s="30">
        <f>J27+K27-N27</f>
        <v>0</v>
      </c>
      <c r="W27" s="2"/>
    </row>
    <row r="28" spans="2:23" s="31" customFormat="1" x14ac:dyDescent="0.15">
      <c r="B28" s="32" t="s">
        <v>50</v>
      </c>
      <c r="C28" s="33">
        <v>22343</v>
      </c>
      <c r="D28" s="34"/>
      <c r="E28" s="33">
        <v>5042837</v>
      </c>
      <c r="F28" s="33">
        <v>4918742</v>
      </c>
      <c r="G28" s="33">
        <v>124095</v>
      </c>
      <c r="H28" s="33">
        <v>2407</v>
      </c>
      <c r="I28" s="33">
        <v>121688</v>
      </c>
      <c r="J28" s="33">
        <v>-21437</v>
      </c>
      <c r="K28" s="33">
        <v>88747</v>
      </c>
      <c r="L28" s="36" t="s">
        <v>27</v>
      </c>
      <c r="M28" s="33">
        <v>62000</v>
      </c>
      <c r="N28" s="33">
        <v>5310</v>
      </c>
      <c r="O28" s="37">
        <v>3.9</v>
      </c>
      <c r="P28" s="38">
        <v>9.6999999999999904</v>
      </c>
      <c r="Q28" s="27" t="str">
        <f>長期債資料!R28</f>
        <v>-</v>
      </c>
      <c r="R28" s="33">
        <v>2979406</v>
      </c>
      <c r="S28" s="39">
        <v>3157915</v>
      </c>
      <c r="T28" s="29"/>
      <c r="U28" s="30">
        <f>J28+K28-M28-N28</f>
        <v>0</v>
      </c>
      <c r="W28" s="2"/>
    </row>
    <row r="29" spans="2:23" s="31" customFormat="1" x14ac:dyDescent="0.15">
      <c r="B29" s="32" t="s">
        <v>51</v>
      </c>
      <c r="C29" s="33">
        <v>22594</v>
      </c>
      <c r="D29" s="34"/>
      <c r="E29" s="33">
        <v>5831220</v>
      </c>
      <c r="F29" s="33">
        <v>5627688</v>
      </c>
      <c r="G29" s="33">
        <v>203532</v>
      </c>
      <c r="H29" s="33">
        <v>1956</v>
      </c>
      <c r="I29" s="33">
        <v>201576</v>
      </c>
      <c r="J29" s="33">
        <v>79888</v>
      </c>
      <c r="K29" s="33">
        <v>22666</v>
      </c>
      <c r="L29" s="36" t="s">
        <v>27</v>
      </c>
      <c r="M29" s="36" t="s">
        <v>27</v>
      </c>
      <c r="N29" s="33">
        <v>102554</v>
      </c>
      <c r="O29" s="37">
        <v>5.6</v>
      </c>
      <c r="P29" s="38">
        <v>8.9</v>
      </c>
      <c r="Q29" s="27" t="str">
        <f>長期債資料!R29</f>
        <v>-</v>
      </c>
      <c r="R29" s="33">
        <v>3423956</v>
      </c>
      <c r="S29" s="39">
        <v>3620461</v>
      </c>
      <c r="T29" s="29"/>
      <c r="U29" s="30">
        <f>J29+K29-N29</f>
        <v>0</v>
      </c>
      <c r="W29" s="41" t="s">
        <v>52</v>
      </c>
    </row>
    <row r="30" spans="2:23" s="31" customFormat="1" x14ac:dyDescent="0.15">
      <c r="B30" s="32" t="s">
        <v>53</v>
      </c>
      <c r="C30" s="33">
        <v>22756</v>
      </c>
      <c r="D30" s="34"/>
      <c r="E30" s="33">
        <v>6803919</v>
      </c>
      <c r="F30" s="33">
        <v>6638708</v>
      </c>
      <c r="G30" s="33">
        <v>165211</v>
      </c>
      <c r="H30" s="33">
        <v>296</v>
      </c>
      <c r="I30" s="33">
        <v>164915</v>
      </c>
      <c r="J30" s="33">
        <v>-36661</v>
      </c>
      <c r="K30" s="33">
        <v>66124</v>
      </c>
      <c r="L30" s="33">
        <v>6069</v>
      </c>
      <c r="M30" s="33">
        <v>170000</v>
      </c>
      <c r="N30" s="33">
        <v>-134468</v>
      </c>
      <c r="O30" s="37">
        <v>4.2</v>
      </c>
      <c r="P30" s="38">
        <v>9.6999999999999904</v>
      </c>
      <c r="Q30" s="27" t="str">
        <f>長期債資料!R30</f>
        <v>-</v>
      </c>
      <c r="R30" s="33">
        <v>4281738</v>
      </c>
      <c r="S30" s="39">
        <v>3928739</v>
      </c>
      <c r="T30" s="29"/>
      <c r="U30" s="30">
        <f>J30+K30+L30-M30-N30</f>
        <v>0</v>
      </c>
      <c r="W30" s="2"/>
    </row>
    <row r="31" spans="2:23" s="31" customFormat="1" x14ac:dyDescent="0.15">
      <c r="B31" s="32" t="s">
        <v>54</v>
      </c>
      <c r="C31" s="33">
        <v>22903</v>
      </c>
      <c r="D31" s="34"/>
      <c r="E31" s="33">
        <v>7121221</v>
      </c>
      <c r="F31" s="33">
        <v>6922794</v>
      </c>
      <c r="G31" s="33">
        <v>198427</v>
      </c>
      <c r="H31" s="33">
        <v>20079</v>
      </c>
      <c r="I31" s="33">
        <v>178348</v>
      </c>
      <c r="J31" s="33">
        <v>13433</v>
      </c>
      <c r="K31" s="33">
        <v>260025</v>
      </c>
      <c r="L31" s="36" t="s">
        <v>27</v>
      </c>
      <c r="M31" s="33">
        <v>180000</v>
      </c>
      <c r="N31" s="33">
        <v>93458</v>
      </c>
      <c r="O31" s="37">
        <v>3.8</v>
      </c>
      <c r="P31" s="38">
        <v>10</v>
      </c>
      <c r="Q31" s="27" t="str">
        <f>長期債資料!R31</f>
        <v>-</v>
      </c>
      <c r="R31" s="33">
        <v>4978890</v>
      </c>
      <c r="S31" s="39">
        <v>4437530</v>
      </c>
      <c r="T31" s="29"/>
      <c r="U31" s="30">
        <f>J31+K31-M31-N31</f>
        <v>0</v>
      </c>
      <c r="W31" s="41"/>
    </row>
    <row r="32" spans="2:23" s="31" customFormat="1" x14ac:dyDescent="0.15">
      <c r="B32" s="32" t="s">
        <v>55</v>
      </c>
      <c r="C32" s="33">
        <v>23023</v>
      </c>
      <c r="D32" s="34"/>
      <c r="E32" s="33">
        <v>7717769</v>
      </c>
      <c r="F32" s="33">
        <v>7472741</v>
      </c>
      <c r="G32" s="33">
        <v>245028</v>
      </c>
      <c r="H32" s="33">
        <v>68199</v>
      </c>
      <c r="I32" s="33">
        <v>176829</v>
      </c>
      <c r="J32" s="33">
        <v>-1519</v>
      </c>
      <c r="K32" s="33">
        <v>306000</v>
      </c>
      <c r="L32" s="36" t="s">
        <v>27</v>
      </c>
      <c r="M32" s="33">
        <v>164000</v>
      </c>
      <c r="N32" s="33">
        <v>140481</v>
      </c>
      <c r="O32" s="37">
        <v>3.4</v>
      </c>
      <c r="P32" s="38">
        <v>10.3</v>
      </c>
      <c r="Q32" s="27" t="str">
        <f>長期債資料!R32</f>
        <v>-</v>
      </c>
      <c r="R32" s="33">
        <v>5757235</v>
      </c>
      <c r="S32" s="39">
        <v>5146266</v>
      </c>
      <c r="T32" s="29"/>
      <c r="U32" s="30">
        <f>J32+K32-M32-N32</f>
        <v>0</v>
      </c>
      <c r="W32" s="41"/>
    </row>
    <row r="33" spans="2:23" s="31" customFormat="1" x14ac:dyDescent="0.15">
      <c r="B33" s="32" t="s">
        <v>56</v>
      </c>
      <c r="C33" s="33">
        <v>23240</v>
      </c>
      <c r="D33" s="34"/>
      <c r="E33" s="33">
        <v>6926561</v>
      </c>
      <c r="F33" s="33">
        <v>6670382</v>
      </c>
      <c r="G33" s="33">
        <v>256179</v>
      </c>
      <c r="H33" s="33">
        <v>10607</v>
      </c>
      <c r="I33" s="33">
        <v>245572</v>
      </c>
      <c r="J33" s="33">
        <v>68743</v>
      </c>
      <c r="K33" s="33">
        <v>328986</v>
      </c>
      <c r="L33" s="36" t="s">
        <v>27</v>
      </c>
      <c r="M33" s="33">
        <v>247000</v>
      </c>
      <c r="N33" s="33">
        <v>150729</v>
      </c>
      <c r="O33" s="37">
        <v>5.3</v>
      </c>
      <c r="P33" s="38">
        <v>12.3</v>
      </c>
      <c r="Q33" s="27" t="str">
        <f>長期債資料!R33</f>
        <v>-</v>
      </c>
      <c r="R33" s="33">
        <v>6057592</v>
      </c>
      <c r="S33" s="39">
        <v>4604539</v>
      </c>
      <c r="T33" s="29"/>
      <c r="U33" s="30">
        <f>J33+K33-M33-N33</f>
        <v>0</v>
      </c>
      <c r="W33" s="41"/>
    </row>
    <row r="34" spans="2:23" s="31" customFormat="1" x14ac:dyDescent="0.15">
      <c r="B34" s="32" t="s">
        <v>57</v>
      </c>
      <c r="C34" s="33">
        <v>23407</v>
      </c>
      <c r="D34" s="34"/>
      <c r="E34" s="33">
        <v>7739348</v>
      </c>
      <c r="F34" s="33">
        <v>7475296</v>
      </c>
      <c r="G34" s="33">
        <v>264052</v>
      </c>
      <c r="H34" s="33">
        <v>3621</v>
      </c>
      <c r="I34" s="33">
        <v>260431</v>
      </c>
      <c r="J34" s="33">
        <v>14859</v>
      </c>
      <c r="K34" s="33">
        <v>424291</v>
      </c>
      <c r="L34" s="33">
        <v>111956</v>
      </c>
      <c r="M34" s="33">
        <v>238000</v>
      </c>
      <c r="N34" s="33">
        <v>313106</v>
      </c>
      <c r="O34" s="37">
        <v>5.3</v>
      </c>
      <c r="P34" s="42">
        <v>12.8</v>
      </c>
      <c r="Q34" s="27" t="str">
        <f>長期債資料!R34</f>
        <v>-</v>
      </c>
      <c r="R34" s="33">
        <v>6448947</v>
      </c>
      <c r="S34" s="39">
        <v>4874621</v>
      </c>
      <c r="T34" s="29"/>
      <c r="U34" s="30">
        <f>J34+K34+L34-M34-N34</f>
        <v>0</v>
      </c>
      <c r="W34" s="41"/>
    </row>
    <row r="35" spans="2:23" s="31" customFormat="1" x14ac:dyDescent="0.15">
      <c r="B35" s="32" t="s">
        <v>58</v>
      </c>
      <c r="C35" s="40">
        <v>23686</v>
      </c>
      <c r="D35" s="43"/>
      <c r="E35" s="40">
        <v>9127521</v>
      </c>
      <c r="F35" s="40">
        <v>8731441</v>
      </c>
      <c r="G35" s="40">
        <v>396080</v>
      </c>
      <c r="H35" s="40">
        <v>80731</v>
      </c>
      <c r="I35" s="40">
        <v>315349</v>
      </c>
      <c r="J35" s="40">
        <v>54918</v>
      </c>
      <c r="K35" s="40">
        <v>117923</v>
      </c>
      <c r="L35" s="40">
        <v>147571</v>
      </c>
      <c r="M35" s="40">
        <v>260500</v>
      </c>
      <c r="N35" s="40">
        <v>59912</v>
      </c>
      <c r="O35" s="37">
        <v>5.9</v>
      </c>
      <c r="P35" s="38">
        <v>13.2</v>
      </c>
      <c r="Q35" s="27" t="str">
        <f>長期債資料!R35</f>
        <v>-</v>
      </c>
      <c r="R35" s="40">
        <v>7328298</v>
      </c>
      <c r="S35" s="44">
        <v>5313731</v>
      </c>
      <c r="T35" s="29"/>
      <c r="U35" s="30">
        <f>J35+K35+L35-M35-N35</f>
        <v>0</v>
      </c>
      <c r="W35" s="41"/>
    </row>
    <row r="36" spans="2:23" s="31" customFormat="1" x14ac:dyDescent="0.15">
      <c r="B36" s="32" t="s">
        <v>59</v>
      </c>
      <c r="C36" s="33">
        <v>23835</v>
      </c>
      <c r="D36" s="34"/>
      <c r="E36" s="33">
        <v>9625637</v>
      </c>
      <c r="F36" s="33">
        <v>9260573</v>
      </c>
      <c r="G36" s="33">
        <v>365064</v>
      </c>
      <c r="H36" s="33">
        <v>0</v>
      </c>
      <c r="I36" s="33">
        <v>365064</v>
      </c>
      <c r="J36" s="33">
        <v>49715</v>
      </c>
      <c r="K36" s="33">
        <v>309355</v>
      </c>
      <c r="L36" s="33">
        <v>111300</v>
      </c>
      <c r="M36" s="33">
        <v>250000</v>
      </c>
      <c r="N36" s="33">
        <v>220370</v>
      </c>
      <c r="O36" s="37">
        <v>6.6</v>
      </c>
      <c r="P36" s="38">
        <v>14.8</v>
      </c>
      <c r="Q36" s="27" t="str">
        <f>長期債資料!R36</f>
        <v>-</v>
      </c>
      <c r="R36" s="33">
        <v>8417525</v>
      </c>
      <c r="S36" s="39">
        <v>5572381</v>
      </c>
      <c r="T36" s="29"/>
      <c r="U36" s="30">
        <f>J36+K36+L36-M36-N36</f>
        <v>0</v>
      </c>
      <c r="W36" s="41"/>
    </row>
    <row r="37" spans="2:23" s="31" customFormat="1" x14ac:dyDescent="0.15">
      <c r="B37" s="32" t="s">
        <v>60</v>
      </c>
      <c r="C37" s="33">
        <v>23962</v>
      </c>
      <c r="D37" s="34"/>
      <c r="E37" s="33">
        <v>8715877</v>
      </c>
      <c r="F37" s="33">
        <v>8385558</v>
      </c>
      <c r="G37" s="33">
        <v>330319</v>
      </c>
      <c r="H37" s="33">
        <v>4163</v>
      </c>
      <c r="I37" s="33">
        <v>326156</v>
      </c>
      <c r="J37" s="33">
        <v>-38908</v>
      </c>
      <c r="K37" s="33">
        <v>72910</v>
      </c>
      <c r="L37" s="33">
        <v>125790</v>
      </c>
      <c r="M37" s="33">
        <v>100000</v>
      </c>
      <c r="N37" s="33">
        <v>59792</v>
      </c>
      <c r="O37" s="37">
        <v>5.8</v>
      </c>
      <c r="P37" s="38">
        <v>16.7</v>
      </c>
      <c r="Q37" s="27" t="str">
        <f>長期債資料!R37</f>
        <v>-</v>
      </c>
      <c r="R37" s="33">
        <v>8521052</v>
      </c>
      <c r="S37" s="39">
        <v>5624694</v>
      </c>
      <c r="T37" s="29"/>
      <c r="U37" s="30">
        <f>J37+K37+L37-M37-N37</f>
        <v>0</v>
      </c>
      <c r="W37" s="41" t="s">
        <v>61</v>
      </c>
    </row>
    <row r="38" spans="2:23" s="31" customFormat="1" x14ac:dyDescent="0.15">
      <c r="B38" s="32" t="s">
        <v>62</v>
      </c>
      <c r="C38" s="33">
        <v>24001</v>
      </c>
      <c r="D38" s="34"/>
      <c r="E38" s="33">
        <v>9862976</v>
      </c>
      <c r="F38" s="33">
        <v>9236009</v>
      </c>
      <c r="G38" s="33">
        <v>626967</v>
      </c>
      <c r="H38" s="33">
        <v>106431</v>
      </c>
      <c r="I38" s="33">
        <v>520536</v>
      </c>
      <c r="J38" s="33">
        <v>194380</v>
      </c>
      <c r="K38" s="33">
        <v>209422</v>
      </c>
      <c r="L38" s="33">
        <v>165950</v>
      </c>
      <c r="M38" s="33">
        <v>195000</v>
      </c>
      <c r="N38" s="33">
        <v>374752</v>
      </c>
      <c r="O38" s="37">
        <v>8.9</v>
      </c>
      <c r="P38" s="38">
        <v>16</v>
      </c>
      <c r="Q38" s="27" t="str">
        <f>長期債資料!R38</f>
        <v>-</v>
      </c>
      <c r="R38" s="33">
        <v>8548412</v>
      </c>
      <c r="S38" s="39">
        <v>5817990</v>
      </c>
      <c r="T38" s="29"/>
      <c r="U38" s="30">
        <f>J38+K38+L38-M38-N38</f>
        <v>0</v>
      </c>
      <c r="W38" s="2"/>
    </row>
    <row r="39" spans="2:23" s="31" customFormat="1" x14ac:dyDescent="0.15">
      <c r="B39" s="32" t="s">
        <v>63</v>
      </c>
      <c r="C39" s="33">
        <v>24160</v>
      </c>
      <c r="D39" s="34"/>
      <c r="E39" s="33">
        <v>10394580</v>
      </c>
      <c r="F39" s="33">
        <v>9766517</v>
      </c>
      <c r="G39" s="33">
        <v>628063</v>
      </c>
      <c r="H39" s="33">
        <v>9503</v>
      </c>
      <c r="I39" s="33">
        <v>618560</v>
      </c>
      <c r="J39" s="33">
        <v>97483</v>
      </c>
      <c r="K39" s="33">
        <v>121138</v>
      </c>
      <c r="L39" s="36" t="s">
        <v>27</v>
      </c>
      <c r="M39" s="33">
        <v>522055</v>
      </c>
      <c r="N39" s="33">
        <v>-303434</v>
      </c>
      <c r="O39" s="37">
        <v>10.199999999999999</v>
      </c>
      <c r="P39" s="38">
        <v>14.8</v>
      </c>
      <c r="Q39" s="27" t="str">
        <f>長期債資料!R39</f>
        <v>-</v>
      </c>
      <c r="R39" s="33">
        <v>8555260</v>
      </c>
      <c r="S39" s="39">
        <v>6056307</v>
      </c>
      <c r="T39" s="29"/>
      <c r="U39" s="30">
        <f>J39+K39-M39-N39</f>
        <v>0</v>
      </c>
      <c r="W39" s="2"/>
    </row>
    <row r="40" spans="2:23" s="31" customFormat="1" x14ac:dyDescent="0.15">
      <c r="B40" s="32" t="s">
        <v>64</v>
      </c>
      <c r="C40" s="45">
        <v>24323</v>
      </c>
      <c r="D40" s="46"/>
      <c r="E40" s="45">
        <v>9768958</v>
      </c>
      <c r="F40" s="45">
        <v>9396601</v>
      </c>
      <c r="G40" s="45">
        <f>E40-F40</f>
        <v>372357</v>
      </c>
      <c r="H40" s="45">
        <v>65162</v>
      </c>
      <c r="I40" s="45">
        <f>G40-H40</f>
        <v>307195</v>
      </c>
      <c r="J40" s="33">
        <f>I40-I39</f>
        <v>-311365</v>
      </c>
      <c r="K40" s="45">
        <v>550167</v>
      </c>
      <c r="L40" s="45">
        <v>100000</v>
      </c>
      <c r="M40" s="45">
        <v>100000</v>
      </c>
      <c r="N40" s="33">
        <f>J40+K40+L40-M40</f>
        <v>238802</v>
      </c>
      <c r="O40" s="42">
        <v>5.0999999999999996</v>
      </c>
      <c r="P40" s="47">
        <v>15</v>
      </c>
      <c r="Q40" s="27" t="str">
        <f>長期債資料!R40</f>
        <v>-</v>
      </c>
      <c r="R40" s="45">
        <v>8611360</v>
      </c>
      <c r="S40" s="48">
        <v>5979201</v>
      </c>
      <c r="T40" s="29"/>
      <c r="U40" s="30">
        <f>J40+K40+L40-M40-N40</f>
        <v>0</v>
      </c>
      <c r="W40" s="2"/>
    </row>
    <row r="41" spans="2:23" s="31" customFormat="1" x14ac:dyDescent="0.15">
      <c r="B41" s="32" t="s">
        <v>65</v>
      </c>
      <c r="C41" s="45">
        <v>24393</v>
      </c>
      <c r="D41" s="46"/>
      <c r="E41" s="45">
        <v>10060874</v>
      </c>
      <c r="F41" s="45">
        <v>9707057</v>
      </c>
      <c r="G41" s="45">
        <f>E41-F41</f>
        <v>353817</v>
      </c>
      <c r="H41" s="45">
        <v>97656</v>
      </c>
      <c r="I41" s="45">
        <f>G41-H41</f>
        <v>256161</v>
      </c>
      <c r="J41" s="33">
        <f>I41-I40</f>
        <v>-51034</v>
      </c>
      <c r="K41" s="45">
        <v>680308</v>
      </c>
      <c r="L41" s="36" t="s">
        <v>27</v>
      </c>
      <c r="M41" s="45">
        <v>420000</v>
      </c>
      <c r="N41" s="33">
        <v>209274</v>
      </c>
      <c r="O41" s="42">
        <v>4.2</v>
      </c>
      <c r="P41" s="42">
        <v>15.4</v>
      </c>
      <c r="Q41" s="27" t="str">
        <f>長期債資料!R41</f>
        <v>-</v>
      </c>
      <c r="R41" s="45">
        <v>9063336</v>
      </c>
      <c r="S41" s="48">
        <v>6156451</v>
      </c>
      <c r="T41" s="29"/>
      <c r="U41" s="30">
        <f>J41+K41-M41-N41</f>
        <v>0</v>
      </c>
      <c r="W41" s="2"/>
    </row>
    <row r="42" spans="2:23" s="31" customFormat="1" x14ac:dyDescent="0.15">
      <c r="B42" s="32" t="s">
        <v>66</v>
      </c>
      <c r="C42" s="45">
        <v>24619</v>
      </c>
      <c r="D42" s="46"/>
      <c r="E42" s="45">
        <v>9216838</v>
      </c>
      <c r="F42" s="45">
        <v>8723036</v>
      </c>
      <c r="G42" s="45">
        <v>493802</v>
      </c>
      <c r="H42" s="45">
        <v>70097</v>
      </c>
      <c r="I42" s="45">
        <v>423705</v>
      </c>
      <c r="J42" s="45">
        <v>167544</v>
      </c>
      <c r="K42" s="45">
        <v>75081</v>
      </c>
      <c r="L42" s="49" t="s">
        <v>27</v>
      </c>
      <c r="M42" s="45">
        <v>588000</v>
      </c>
      <c r="N42" s="33">
        <v>-345375</v>
      </c>
      <c r="O42" s="42">
        <v>7.1</v>
      </c>
      <c r="P42" s="47">
        <v>16</v>
      </c>
      <c r="Q42" s="27" t="str">
        <f>長期債資料!R42</f>
        <v>-</v>
      </c>
      <c r="R42" s="45">
        <v>9270627</v>
      </c>
      <c r="S42" s="48">
        <v>5957111</v>
      </c>
      <c r="T42" s="29"/>
      <c r="U42" s="30">
        <f>J42+K42-M42-N42</f>
        <v>0</v>
      </c>
      <c r="W42" s="2"/>
    </row>
    <row r="43" spans="2:23" s="31" customFormat="1" x14ac:dyDescent="0.15">
      <c r="B43" s="32" t="s">
        <v>67</v>
      </c>
      <c r="C43" s="40">
        <v>24710</v>
      </c>
      <c r="D43" s="43"/>
      <c r="E43" s="40">
        <v>9430864</v>
      </c>
      <c r="F43" s="40">
        <v>8956615</v>
      </c>
      <c r="G43" s="40">
        <v>474249</v>
      </c>
      <c r="H43" s="40">
        <v>122584</v>
      </c>
      <c r="I43" s="40">
        <v>351665</v>
      </c>
      <c r="J43" s="33">
        <f>I43-I42</f>
        <v>-72040</v>
      </c>
      <c r="K43" s="40">
        <v>500235</v>
      </c>
      <c r="L43" s="49" t="s">
        <v>27</v>
      </c>
      <c r="M43" s="42">
        <v>280000</v>
      </c>
      <c r="N43" s="33">
        <v>148195</v>
      </c>
      <c r="O43" s="42">
        <v>6.5</v>
      </c>
      <c r="P43" s="42">
        <v>16.5</v>
      </c>
      <c r="Q43" s="27" t="str">
        <f>長期債資料!R43</f>
        <v>-</v>
      </c>
      <c r="R43" s="40">
        <v>9380220</v>
      </c>
      <c r="S43" s="44">
        <v>5384428</v>
      </c>
      <c r="T43" s="29"/>
      <c r="U43" s="30">
        <f>J43+K43-M43-N43</f>
        <v>0</v>
      </c>
      <c r="W43" s="2"/>
    </row>
    <row r="44" spans="2:23" s="31" customFormat="1" x14ac:dyDescent="0.15">
      <c r="B44" s="32" t="s">
        <v>68</v>
      </c>
      <c r="C44" s="40">
        <v>24750</v>
      </c>
      <c r="D44" s="43"/>
      <c r="E44" s="40">
        <v>9477560</v>
      </c>
      <c r="F44" s="40">
        <v>9041642</v>
      </c>
      <c r="G44" s="40">
        <v>435918</v>
      </c>
      <c r="H44" s="40">
        <v>60330</v>
      </c>
      <c r="I44" s="40">
        <v>375588</v>
      </c>
      <c r="J44" s="40">
        <v>23923</v>
      </c>
      <c r="K44" s="40">
        <v>330093</v>
      </c>
      <c r="L44" s="49" t="s">
        <v>27</v>
      </c>
      <c r="M44" s="40">
        <v>190000</v>
      </c>
      <c r="N44" s="40">
        <v>164016</v>
      </c>
      <c r="O44" s="42">
        <v>6.9</v>
      </c>
      <c r="P44" s="47">
        <v>16</v>
      </c>
      <c r="Q44" s="27" t="str">
        <f>長期債資料!R44</f>
        <v>-</v>
      </c>
      <c r="R44" s="40">
        <v>9501859</v>
      </c>
      <c r="S44" s="44">
        <v>5433888</v>
      </c>
      <c r="T44" s="29"/>
      <c r="U44" s="30">
        <f>J44+K44-M44-N44</f>
        <v>0</v>
      </c>
      <c r="W44" s="2"/>
    </row>
    <row r="45" spans="2:23" s="31" customFormat="1" x14ac:dyDescent="0.15">
      <c r="B45" s="32" t="s">
        <v>69</v>
      </c>
      <c r="C45" s="40">
        <v>24835</v>
      </c>
      <c r="D45" s="43"/>
      <c r="E45" s="40">
        <v>8860007</v>
      </c>
      <c r="F45" s="40">
        <v>8268476</v>
      </c>
      <c r="G45" s="40">
        <v>591531</v>
      </c>
      <c r="H45" s="40">
        <v>168988</v>
      </c>
      <c r="I45" s="40">
        <v>422543</v>
      </c>
      <c r="J45" s="40">
        <v>46955</v>
      </c>
      <c r="K45" s="40">
        <v>207210</v>
      </c>
      <c r="L45" s="50">
        <v>200000</v>
      </c>
      <c r="M45" s="49" t="s">
        <v>27</v>
      </c>
      <c r="N45" s="40">
        <v>454165</v>
      </c>
      <c r="O45" s="42">
        <v>7.6</v>
      </c>
      <c r="P45" s="47">
        <v>17.600000000000001</v>
      </c>
      <c r="Q45" s="38">
        <f>長期債資料!R45</f>
        <v>19.7</v>
      </c>
      <c r="R45" s="40">
        <v>8987913</v>
      </c>
      <c r="S45" s="44">
        <v>5583173</v>
      </c>
      <c r="T45" s="29"/>
      <c r="U45" s="30">
        <f>J45+K45+L45-N45</f>
        <v>0</v>
      </c>
      <c r="W45" s="2"/>
    </row>
    <row r="46" spans="2:23" s="31" customFormat="1" x14ac:dyDescent="0.15">
      <c r="B46" s="32" t="s">
        <v>70</v>
      </c>
      <c r="C46" s="45">
        <v>24835</v>
      </c>
      <c r="D46" s="46"/>
      <c r="E46" s="45">
        <v>8884601</v>
      </c>
      <c r="F46" s="45">
        <v>8424535</v>
      </c>
      <c r="G46" s="45">
        <v>460066</v>
      </c>
      <c r="H46" s="45">
        <v>53323</v>
      </c>
      <c r="I46" s="45">
        <v>406743</v>
      </c>
      <c r="J46" s="33">
        <f>I46-I45</f>
        <v>-15800</v>
      </c>
      <c r="K46" s="45">
        <v>500555</v>
      </c>
      <c r="L46" s="49" t="s">
        <v>27</v>
      </c>
      <c r="M46" s="45">
        <v>370000</v>
      </c>
      <c r="N46" s="45">
        <v>114755</v>
      </c>
      <c r="O46" s="42">
        <v>7.2</v>
      </c>
      <c r="P46" s="42">
        <v>13.4</v>
      </c>
      <c r="Q46" s="38">
        <f>長期債資料!R46</f>
        <v>19.2</v>
      </c>
      <c r="R46" s="45">
        <v>8764410</v>
      </c>
      <c r="S46" s="48">
        <v>5613320</v>
      </c>
      <c r="T46" s="29"/>
      <c r="U46" s="30">
        <f>J46+K46-M46-N46</f>
        <v>0</v>
      </c>
      <c r="W46" s="2"/>
    </row>
    <row r="47" spans="2:23" s="31" customFormat="1" x14ac:dyDescent="0.15">
      <c r="B47" s="32" t="s">
        <v>71</v>
      </c>
      <c r="C47" s="45">
        <v>24889</v>
      </c>
      <c r="D47" s="46"/>
      <c r="E47" s="45">
        <v>9331509</v>
      </c>
      <c r="F47" s="45">
        <v>9015152</v>
      </c>
      <c r="G47" s="45">
        <v>316357</v>
      </c>
      <c r="H47" s="45">
        <v>1156</v>
      </c>
      <c r="I47" s="45">
        <v>315201</v>
      </c>
      <c r="J47" s="33">
        <f>I47-I46</f>
        <v>-91542</v>
      </c>
      <c r="K47" s="45">
        <v>91947</v>
      </c>
      <c r="L47" s="49" t="s">
        <v>27</v>
      </c>
      <c r="M47" s="49" t="s">
        <v>27</v>
      </c>
      <c r="N47" s="45">
        <v>405</v>
      </c>
      <c r="O47" s="42">
        <v>5.6</v>
      </c>
      <c r="P47" s="42">
        <v>12.8</v>
      </c>
      <c r="Q47" s="38">
        <f>長期債資料!R47</f>
        <v>18.2</v>
      </c>
      <c r="R47" s="45">
        <v>8704395</v>
      </c>
      <c r="S47" s="48">
        <v>5645831</v>
      </c>
      <c r="T47" s="29"/>
      <c r="U47" s="30">
        <f>J47+K47-N47</f>
        <v>0</v>
      </c>
      <c r="W47" s="2" t="s">
        <v>72</v>
      </c>
    </row>
    <row r="48" spans="2:23" s="31" customFormat="1" x14ac:dyDescent="0.15">
      <c r="B48" s="32" t="s">
        <v>73</v>
      </c>
      <c r="C48" s="45">
        <v>24929</v>
      </c>
      <c r="D48" s="46"/>
      <c r="E48" s="45">
        <v>8882752</v>
      </c>
      <c r="F48" s="45">
        <v>8346409</v>
      </c>
      <c r="G48" s="45">
        <v>536343</v>
      </c>
      <c r="H48" s="45">
        <v>209882</v>
      </c>
      <c r="I48" s="45">
        <v>326461</v>
      </c>
      <c r="J48" s="33">
        <v>11260</v>
      </c>
      <c r="K48" s="45">
        <v>8087</v>
      </c>
      <c r="L48" s="49">
        <v>17868</v>
      </c>
      <c r="M48" s="49" t="s">
        <v>26</v>
      </c>
      <c r="N48" s="45">
        <v>37215</v>
      </c>
      <c r="O48" s="42">
        <f>ROUND(I48/S48*100,1)</f>
        <v>5.4</v>
      </c>
      <c r="P48" s="42">
        <v>11.6</v>
      </c>
      <c r="Q48" s="38">
        <f>長期債資料!R48</f>
        <v>17.3</v>
      </c>
      <c r="R48" s="45">
        <v>8273707</v>
      </c>
      <c r="S48" s="48">
        <v>6020841</v>
      </c>
      <c r="T48" s="29"/>
      <c r="U48" s="30">
        <f>J48+K48+L48-N48</f>
        <v>0</v>
      </c>
      <c r="W48" s="2" t="s">
        <v>74</v>
      </c>
    </row>
    <row r="49" spans="2:23" s="31" customFormat="1" x14ac:dyDescent="0.15">
      <c r="B49" s="32" t="s">
        <v>75</v>
      </c>
      <c r="C49" s="45">
        <v>24822</v>
      </c>
      <c r="D49" s="46"/>
      <c r="E49" s="45">
        <v>8917456</v>
      </c>
      <c r="F49" s="45">
        <v>8401050</v>
      </c>
      <c r="G49" s="45">
        <f>E49-F49</f>
        <v>516406</v>
      </c>
      <c r="H49" s="45">
        <v>29611</v>
      </c>
      <c r="I49" s="45">
        <v>486795</v>
      </c>
      <c r="J49" s="33">
        <v>160334</v>
      </c>
      <c r="K49" s="45">
        <v>7550</v>
      </c>
      <c r="L49" s="49">
        <v>826</v>
      </c>
      <c r="M49" s="49">
        <v>100000</v>
      </c>
      <c r="N49" s="45">
        <v>68710</v>
      </c>
      <c r="O49" s="47">
        <f>ROUND(I49/S49*100,1)</f>
        <v>8</v>
      </c>
      <c r="P49" s="42">
        <v>10.9</v>
      </c>
      <c r="Q49" s="38">
        <f>長期債資料!R49</f>
        <v>16.399999999999999</v>
      </c>
      <c r="R49" s="45">
        <v>8109818</v>
      </c>
      <c r="S49" s="48">
        <v>6078848</v>
      </c>
      <c r="T49" s="29"/>
      <c r="U49" s="30">
        <f t="shared" ref="U49:U61" si="1">J49+K49+L49-M49-N49</f>
        <v>0</v>
      </c>
      <c r="W49" s="2"/>
    </row>
    <row r="50" spans="2:23" s="31" customFormat="1" x14ac:dyDescent="0.15">
      <c r="B50" s="32" t="s">
        <v>76</v>
      </c>
      <c r="C50" s="45">
        <v>24882</v>
      </c>
      <c r="D50" s="46"/>
      <c r="E50" s="45">
        <v>10124770</v>
      </c>
      <c r="F50" s="45">
        <v>9620380</v>
      </c>
      <c r="G50" s="45">
        <v>504390</v>
      </c>
      <c r="H50" s="45">
        <v>36161</v>
      </c>
      <c r="I50" s="45">
        <v>468229</v>
      </c>
      <c r="J50" s="33">
        <v>-18566</v>
      </c>
      <c r="K50" s="45">
        <v>267370</v>
      </c>
      <c r="L50" s="49">
        <v>35000</v>
      </c>
      <c r="M50" s="49">
        <v>0</v>
      </c>
      <c r="N50" s="45">
        <v>283804</v>
      </c>
      <c r="O50" s="47">
        <v>7.5</v>
      </c>
      <c r="P50" s="42">
        <v>10.3</v>
      </c>
      <c r="Q50" s="38">
        <f>長期債資料!R50</f>
        <v>15.4</v>
      </c>
      <c r="R50" s="45">
        <v>8136065</v>
      </c>
      <c r="S50" s="48">
        <v>6201829</v>
      </c>
      <c r="T50" s="29"/>
      <c r="U50" s="30">
        <f t="shared" si="1"/>
        <v>0</v>
      </c>
      <c r="W50" s="2"/>
    </row>
    <row r="51" spans="2:23" s="31" customFormat="1" x14ac:dyDescent="0.15">
      <c r="B51" s="32" t="s">
        <v>77</v>
      </c>
      <c r="C51" s="45">
        <v>24827</v>
      </c>
      <c r="D51" s="46"/>
      <c r="E51" s="45">
        <v>9259401</v>
      </c>
      <c r="F51" s="45">
        <v>8821625</v>
      </c>
      <c r="G51" s="45">
        <v>437776</v>
      </c>
      <c r="H51" s="45">
        <v>8232</v>
      </c>
      <c r="I51" s="45">
        <v>429544</v>
      </c>
      <c r="J51" s="33">
        <v>-38685</v>
      </c>
      <c r="K51" s="45">
        <v>172528</v>
      </c>
      <c r="L51" s="49">
        <v>145886</v>
      </c>
      <c r="M51" s="49">
        <v>0</v>
      </c>
      <c r="N51" s="45">
        <v>279729</v>
      </c>
      <c r="O51" s="47">
        <v>7</v>
      </c>
      <c r="P51" s="38">
        <v>10</v>
      </c>
      <c r="Q51" s="38">
        <f>長期債資料!R51</f>
        <v>15.3</v>
      </c>
      <c r="R51" s="45">
        <v>7862992</v>
      </c>
      <c r="S51" s="48">
        <v>6121219</v>
      </c>
      <c r="T51" s="29"/>
      <c r="U51" s="30">
        <f t="shared" si="1"/>
        <v>0</v>
      </c>
      <c r="W51" s="2"/>
    </row>
    <row r="52" spans="2:23" s="31" customFormat="1" x14ac:dyDescent="0.15">
      <c r="B52" s="32" t="s">
        <v>78</v>
      </c>
      <c r="C52" s="46"/>
      <c r="D52" s="45">
        <v>25373</v>
      </c>
      <c r="E52" s="45">
        <v>9192835</v>
      </c>
      <c r="F52" s="45">
        <v>8734459</v>
      </c>
      <c r="G52" s="45">
        <f t="shared" ref="G52:G61" si="2">E52-F52</f>
        <v>458376</v>
      </c>
      <c r="H52" s="45">
        <v>25600</v>
      </c>
      <c r="I52" s="45">
        <f t="shared" ref="I52:I61" si="3">G52-H52</f>
        <v>432776</v>
      </c>
      <c r="J52" s="33">
        <v>3232</v>
      </c>
      <c r="K52" s="45">
        <v>2269</v>
      </c>
      <c r="L52" s="49">
        <v>0</v>
      </c>
      <c r="M52" s="49">
        <v>0</v>
      </c>
      <c r="N52" s="45">
        <v>5501</v>
      </c>
      <c r="O52" s="47">
        <v>7</v>
      </c>
      <c r="P52" s="38">
        <v>8.4</v>
      </c>
      <c r="Q52" s="38">
        <f>長期債資料!R52</f>
        <v>15.4</v>
      </c>
      <c r="R52" s="45">
        <v>8130850</v>
      </c>
      <c r="S52" s="48">
        <v>6202676</v>
      </c>
      <c r="T52" s="29"/>
      <c r="U52" s="30">
        <f t="shared" si="1"/>
        <v>0</v>
      </c>
      <c r="W52" s="2"/>
    </row>
    <row r="53" spans="2:23" s="55" customFormat="1" x14ac:dyDescent="0.15">
      <c r="B53" s="51" t="s">
        <v>79</v>
      </c>
      <c r="C53" s="52"/>
      <c r="D53" s="45">
        <v>25262</v>
      </c>
      <c r="E53" s="45">
        <v>9063773</v>
      </c>
      <c r="F53" s="45">
        <v>8541185</v>
      </c>
      <c r="G53" s="45">
        <f t="shared" si="2"/>
        <v>522588</v>
      </c>
      <c r="H53" s="45">
        <v>161034</v>
      </c>
      <c r="I53" s="45">
        <f t="shared" si="3"/>
        <v>361554</v>
      </c>
      <c r="J53" s="33">
        <v>-71222</v>
      </c>
      <c r="K53" s="45">
        <v>2433</v>
      </c>
      <c r="L53" s="49">
        <v>0</v>
      </c>
      <c r="M53" s="49">
        <v>100000</v>
      </c>
      <c r="N53" s="33">
        <v>-168789</v>
      </c>
      <c r="O53" s="47">
        <v>5.7</v>
      </c>
      <c r="P53" s="38">
        <f>公債費比率と繰上償還!J53</f>
        <v>7.4517409400857684</v>
      </c>
      <c r="Q53" s="38">
        <f>長期債資料!R53</f>
        <v>14.3</v>
      </c>
      <c r="R53" s="45">
        <v>8344807</v>
      </c>
      <c r="S53" s="48">
        <v>6347475</v>
      </c>
      <c r="T53" s="53"/>
      <c r="U53" s="54">
        <f t="shared" si="1"/>
        <v>0</v>
      </c>
      <c r="W53" s="2" t="s">
        <v>80</v>
      </c>
    </row>
    <row r="54" spans="2:23" s="55" customFormat="1" x14ac:dyDescent="0.15">
      <c r="B54" s="51" t="s">
        <v>81</v>
      </c>
      <c r="C54" s="52"/>
      <c r="D54" s="45">
        <v>25152</v>
      </c>
      <c r="E54" s="45">
        <v>10180496</v>
      </c>
      <c r="F54" s="45">
        <v>9751302</v>
      </c>
      <c r="G54" s="45">
        <f t="shared" si="2"/>
        <v>429194</v>
      </c>
      <c r="H54" s="45">
        <v>89589</v>
      </c>
      <c r="I54" s="45">
        <f t="shared" si="3"/>
        <v>339605</v>
      </c>
      <c r="J54" s="33">
        <v>-21949</v>
      </c>
      <c r="K54" s="45">
        <v>2350</v>
      </c>
      <c r="L54" s="49">
        <v>0</v>
      </c>
      <c r="M54" s="49">
        <v>0</v>
      </c>
      <c r="N54" s="33">
        <v>-19599</v>
      </c>
      <c r="O54" s="47">
        <v>5.4</v>
      </c>
      <c r="P54" s="38">
        <f>公債費比率と繰上償還!J54</f>
        <v>6.167769330943214</v>
      </c>
      <c r="Q54" s="38">
        <f>長期債資料!R54</f>
        <v>12.1</v>
      </c>
      <c r="R54" s="45">
        <v>9138065</v>
      </c>
      <c r="S54" s="48">
        <v>6261771</v>
      </c>
      <c r="T54" s="53"/>
      <c r="U54" s="54">
        <f t="shared" si="1"/>
        <v>0</v>
      </c>
      <c r="W54" s="2"/>
    </row>
    <row r="55" spans="2:23" s="55" customFormat="1" x14ac:dyDescent="0.15">
      <c r="B55" s="51" t="s">
        <v>82</v>
      </c>
      <c r="C55" s="52"/>
      <c r="D55" s="45">
        <v>25009</v>
      </c>
      <c r="E55" s="45">
        <v>9423690</v>
      </c>
      <c r="F55" s="45">
        <v>8824796</v>
      </c>
      <c r="G55" s="45">
        <f t="shared" si="2"/>
        <v>598894</v>
      </c>
      <c r="H55" s="45">
        <v>62894</v>
      </c>
      <c r="I55" s="45">
        <f t="shared" si="3"/>
        <v>536000</v>
      </c>
      <c r="J55" s="33">
        <v>196012</v>
      </c>
      <c r="K55" s="45">
        <v>2441</v>
      </c>
      <c r="L55" s="49">
        <v>0</v>
      </c>
      <c r="M55" s="49">
        <v>0</v>
      </c>
      <c r="N55" s="33">
        <v>198453</v>
      </c>
      <c r="O55" s="47">
        <v>8.3000000000000007</v>
      </c>
      <c r="P55" s="38">
        <f>公債費比率と繰上償還!J55</f>
        <v>7.4950032927135926</v>
      </c>
      <c r="Q55" s="38">
        <f>長期債資料!R55</f>
        <v>10.3</v>
      </c>
      <c r="R55" s="45">
        <v>9143969</v>
      </c>
      <c r="S55" s="48">
        <v>6471584</v>
      </c>
      <c r="T55" s="53"/>
      <c r="U55" s="54">
        <f t="shared" si="1"/>
        <v>0</v>
      </c>
      <c r="W55" s="2"/>
    </row>
    <row r="56" spans="2:23" s="31" customFormat="1" x14ac:dyDescent="0.15">
      <c r="B56" s="32" t="s">
        <v>83</v>
      </c>
      <c r="C56" s="46"/>
      <c r="D56" s="45">
        <v>25055</v>
      </c>
      <c r="E56" s="45">
        <v>9536591</v>
      </c>
      <c r="F56" s="45">
        <v>8999082</v>
      </c>
      <c r="G56" s="45">
        <f t="shared" si="2"/>
        <v>537509</v>
      </c>
      <c r="H56" s="45">
        <v>156783</v>
      </c>
      <c r="I56" s="45">
        <f t="shared" si="3"/>
        <v>380726</v>
      </c>
      <c r="J56" s="33">
        <v>-155274</v>
      </c>
      <c r="K56" s="45">
        <v>2431</v>
      </c>
      <c r="L56" s="49">
        <v>0</v>
      </c>
      <c r="M56" s="49">
        <v>0</v>
      </c>
      <c r="N56" s="33">
        <v>-152843</v>
      </c>
      <c r="O56" s="47">
        <v>6</v>
      </c>
      <c r="P56" s="38">
        <f>公債費比率と繰上償還!J56</f>
        <v>7.921506551589844</v>
      </c>
      <c r="Q56" s="38">
        <f>長期債資料!R56</f>
        <v>9.9</v>
      </c>
      <c r="R56" s="45">
        <v>8967235</v>
      </c>
      <c r="S56" s="48">
        <v>6398403</v>
      </c>
      <c r="T56" s="29"/>
      <c r="U56" s="54">
        <f t="shared" si="1"/>
        <v>0</v>
      </c>
      <c r="W56" s="2"/>
    </row>
    <row r="57" spans="2:23" s="31" customFormat="1" x14ac:dyDescent="0.15">
      <c r="B57" s="32" t="s">
        <v>84</v>
      </c>
      <c r="C57" s="46"/>
      <c r="D57" s="45">
        <v>24986</v>
      </c>
      <c r="E57" s="45">
        <v>10308309</v>
      </c>
      <c r="F57" s="45">
        <v>9709505</v>
      </c>
      <c r="G57" s="45">
        <f t="shared" si="2"/>
        <v>598804</v>
      </c>
      <c r="H57" s="45">
        <v>48970</v>
      </c>
      <c r="I57" s="45">
        <f t="shared" si="3"/>
        <v>549834</v>
      </c>
      <c r="J57" s="33">
        <v>169108</v>
      </c>
      <c r="K57" s="45">
        <v>1861</v>
      </c>
      <c r="L57" s="49">
        <v>0</v>
      </c>
      <c r="M57" s="49">
        <v>60000</v>
      </c>
      <c r="N57" s="33">
        <v>110969</v>
      </c>
      <c r="O57" s="47">
        <v>8.6999999999999993</v>
      </c>
      <c r="P57" s="38">
        <f>公債費比率と繰上償還!J57</f>
        <v>7.5043659417238038</v>
      </c>
      <c r="Q57" s="38">
        <f>長期債資料!R56</f>
        <v>9.9</v>
      </c>
      <c r="R57" s="45">
        <v>9404494</v>
      </c>
      <c r="S57" s="48">
        <v>6358997</v>
      </c>
      <c r="T57" s="29"/>
      <c r="U57" s="54">
        <f t="shared" si="1"/>
        <v>0</v>
      </c>
      <c r="W57" s="2"/>
    </row>
    <row r="58" spans="2:23" s="31" customFormat="1" x14ac:dyDescent="0.15">
      <c r="B58" s="32" t="s">
        <v>85</v>
      </c>
      <c r="C58" s="46"/>
      <c r="D58" s="45">
        <v>25058</v>
      </c>
      <c r="E58" s="45">
        <v>9678104</v>
      </c>
      <c r="F58" s="45">
        <v>9028907</v>
      </c>
      <c r="G58" s="45">
        <f t="shared" si="2"/>
        <v>649197</v>
      </c>
      <c r="H58" s="45">
        <v>42439</v>
      </c>
      <c r="I58" s="45">
        <f t="shared" si="3"/>
        <v>606758</v>
      </c>
      <c r="J58" s="33">
        <v>56924</v>
      </c>
      <c r="K58" s="45">
        <v>11076</v>
      </c>
      <c r="L58" s="49">
        <v>0</v>
      </c>
      <c r="M58" s="49">
        <v>0</v>
      </c>
      <c r="N58" s="33">
        <v>68000</v>
      </c>
      <c r="O58" s="47">
        <v>9.6</v>
      </c>
      <c r="P58" s="38">
        <f>公債費比率と繰上償還!J58</f>
        <v>6.9505368726157188</v>
      </c>
      <c r="Q58" s="38">
        <v>10.3</v>
      </c>
      <c r="R58" s="45">
        <v>9259476</v>
      </c>
      <c r="S58" s="48">
        <v>6348183</v>
      </c>
      <c r="T58" s="29"/>
      <c r="U58" s="54">
        <f t="shared" si="1"/>
        <v>0</v>
      </c>
      <c r="W58" s="2"/>
    </row>
    <row r="59" spans="2:23" s="31" customFormat="1" x14ac:dyDescent="0.15">
      <c r="B59" s="32" t="s">
        <v>86</v>
      </c>
      <c r="C59" s="46"/>
      <c r="D59" s="45">
        <v>24987</v>
      </c>
      <c r="E59" s="45">
        <v>9960220</v>
      </c>
      <c r="F59" s="45">
        <v>9295564</v>
      </c>
      <c r="G59" s="45">
        <f t="shared" si="2"/>
        <v>664656</v>
      </c>
      <c r="H59" s="45">
        <v>105120</v>
      </c>
      <c r="I59" s="45">
        <f t="shared" si="3"/>
        <v>559536</v>
      </c>
      <c r="J59" s="33">
        <v>-47222</v>
      </c>
      <c r="K59" s="45">
        <v>1032</v>
      </c>
      <c r="L59" s="49">
        <v>0</v>
      </c>
      <c r="M59" s="49">
        <v>0</v>
      </c>
      <c r="N59" s="33">
        <v>-46190</v>
      </c>
      <c r="O59" s="47">
        <v>8.6999999999999993</v>
      </c>
      <c r="P59" s="38">
        <f>公債費比率と繰上償還!J59</f>
        <v>6.4869335416229053</v>
      </c>
      <c r="Q59" s="38">
        <v>9.9</v>
      </c>
      <c r="R59" s="45">
        <v>9259200</v>
      </c>
      <c r="S59" s="48">
        <v>6404590</v>
      </c>
      <c r="T59" s="29"/>
      <c r="U59" s="30">
        <f t="shared" si="1"/>
        <v>0</v>
      </c>
      <c r="W59" s="2"/>
    </row>
    <row r="60" spans="2:23" s="31" customFormat="1" x14ac:dyDescent="0.15">
      <c r="B60" s="32" t="s">
        <v>87</v>
      </c>
      <c r="C60" s="46"/>
      <c r="D60" s="45">
        <v>24720</v>
      </c>
      <c r="E60" s="45">
        <v>13685009</v>
      </c>
      <c r="F60" s="45">
        <v>12716215</v>
      </c>
      <c r="G60" s="45">
        <f t="shared" si="2"/>
        <v>968794</v>
      </c>
      <c r="H60" s="45">
        <v>195502</v>
      </c>
      <c r="I60" s="45">
        <f t="shared" si="3"/>
        <v>773292</v>
      </c>
      <c r="J60" s="33">
        <v>213756</v>
      </c>
      <c r="K60" s="45">
        <v>1003</v>
      </c>
      <c r="L60" s="49">
        <v>0</v>
      </c>
      <c r="M60" s="49">
        <v>0</v>
      </c>
      <c r="N60" s="33">
        <v>214759</v>
      </c>
      <c r="O60" s="47">
        <v>11.3</v>
      </c>
      <c r="P60" s="38">
        <f>公債費比率と繰上償還!J60</f>
        <v>5.5780239723422467</v>
      </c>
      <c r="Q60" s="38">
        <v>8.3000000000000007</v>
      </c>
      <c r="R60" s="45">
        <v>9560195</v>
      </c>
      <c r="S60" s="48">
        <v>6859742</v>
      </c>
      <c r="T60" s="29"/>
      <c r="U60" s="30">
        <f t="shared" si="1"/>
        <v>0</v>
      </c>
      <c r="W60" s="2" t="s">
        <v>88</v>
      </c>
    </row>
    <row r="61" spans="2:23" s="31" customFormat="1" x14ac:dyDescent="0.15">
      <c r="B61" s="56" t="s">
        <v>89</v>
      </c>
      <c r="C61" s="57"/>
      <c r="D61" s="58">
        <v>24626</v>
      </c>
      <c r="E61" s="58">
        <v>12953364</v>
      </c>
      <c r="F61" s="58">
        <v>11766962</v>
      </c>
      <c r="G61" s="58">
        <f t="shared" si="2"/>
        <v>1186402</v>
      </c>
      <c r="H61" s="58">
        <v>201953</v>
      </c>
      <c r="I61" s="58">
        <f t="shared" si="3"/>
        <v>984449</v>
      </c>
      <c r="J61" s="59">
        <v>211157</v>
      </c>
      <c r="K61" s="58">
        <v>40950</v>
      </c>
      <c r="L61" s="60">
        <v>0</v>
      </c>
      <c r="M61" s="60">
        <v>0</v>
      </c>
      <c r="N61" s="59">
        <v>252107</v>
      </c>
      <c r="O61" s="61">
        <v>13.8</v>
      </c>
      <c r="P61" s="62">
        <v>5.9</v>
      </c>
      <c r="Q61" s="62">
        <v>7.1</v>
      </c>
      <c r="R61" s="58">
        <v>10296646</v>
      </c>
      <c r="S61" s="63">
        <v>7152421</v>
      </c>
      <c r="T61" s="29"/>
      <c r="U61" s="30">
        <f t="shared" si="1"/>
        <v>0</v>
      </c>
      <c r="W61" s="2" t="s">
        <v>88</v>
      </c>
    </row>
    <row r="62" spans="2:23" s="31" customFormat="1" x14ac:dyDescent="0.15">
      <c r="C62" s="64" t="s">
        <v>90</v>
      </c>
      <c r="D62" s="64"/>
      <c r="P62" s="64"/>
      <c r="Q62" s="64"/>
      <c r="W62" s="2"/>
    </row>
    <row r="63" spans="2:23" s="31" customFormat="1" x14ac:dyDescent="0.15">
      <c r="C63" s="31" t="s">
        <v>91</v>
      </c>
      <c r="W63" s="2"/>
    </row>
    <row r="64" spans="2:23" s="31" customFormat="1" x14ac:dyDescent="0.15">
      <c r="P64" s="31" t="s">
        <v>92</v>
      </c>
      <c r="W64" s="2"/>
    </row>
    <row r="65" spans="23:23" s="31" customFormat="1" x14ac:dyDescent="0.15">
      <c r="W65" s="2"/>
    </row>
    <row r="66" spans="23:23" s="31" customFormat="1" x14ac:dyDescent="0.15">
      <c r="W66" s="2"/>
    </row>
    <row r="67" spans="23:23" s="31" customFormat="1" x14ac:dyDescent="0.15">
      <c r="W67" s="2"/>
    </row>
    <row r="68" spans="23:23" s="31" customFormat="1" x14ac:dyDescent="0.15">
      <c r="W68" s="2"/>
    </row>
    <row r="69" spans="23:23" s="31" customFormat="1" x14ac:dyDescent="0.15">
      <c r="W69" s="2"/>
    </row>
    <row r="70" spans="23:23" s="31" customFormat="1" x14ac:dyDescent="0.15">
      <c r="W70" s="2"/>
    </row>
  </sheetData>
  <mergeCells count="7">
    <mergeCell ref="S2:S4"/>
    <mergeCell ref="B2:B4"/>
    <mergeCell ref="G2:G4"/>
    <mergeCell ref="I2:I4"/>
    <mergeCell ref="J2:J4"/>
    <mergeCell ref="K2:K4"/>
    <mergeCell ref="R2:R4"/>
  </mergeCells>
  <phoneticPr fontId="3"/>
  <printOptions horizontalCentered="1"/>
  <pageMargins left="0.39370078740157483" right="0.39370078740157483" top="0.98425196850393704" bottom="0.78740157480314965" header="0.51181102362204722" footer="0.51181102362204722"/>
  <pageSetup paperSize="9" scale="81" fitToHeight="0" orientation="landscape" r:id="rId1"/>
  <headerFooter alignWithMargins="0">
    <oddFooter>&amp;P / &amp;N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64"/>
  <sheetViews>
    <sheetView view="pageBreakPreview" zoomScale="96" zoomScaleNormal="130" zoomScaleSheetLayoutView="96" workbookViewId="0">
      <pane xSplit="2" ySplit="4" topLeftCell="C26" activePane="bottomRight" state="frozen"/>
      <selection activeCell="M19" sqref="M19"/>
      <selection pane="topRight" activeCell="M19" sqref="M19"/>
      <selection pane="bottomLeft" activeCell="M19" sqref="M19"/>
      <selection pane="bottomRight" activeCell="B1" sqref="B1"/>
    </sheetView>
  </sheetViews>
  <sheetFormatPr defaultColWidth="9.375" defaultRowHeight="12" x14ac:dyDescent="0.15"/>
  <cols>
    <col min="1" max="1" width="2.375" style="2" customWidth="1"/>
    <col min="2" max="3" width="11.125" style="2" customWidth="1"/>
    <col min="4" max="4" width="10.25" style="2" customWidth="1"/>
    <col min="5" max="5" width="6.75" style="2" customWidth="1"/>
    <col min="6" max="6" width="11.125" style="2" customWidth="1"/>
    <col min="7" max="7" width="6.75" style="2" customWidth="1"/>
    <col min="8" max="8" width="9.375" style="2"/>
    <col min="9" max="9" width="6.75" style="2" customWidth="1"/>
    <col min="10" max="10" width="9.375" style="2"/>
    <col min="11" max="11" width="6.75" style="2" customWidth="1"/>
    <col min="12" max="12" width="6.75" style="2" bestFit="1" customWidth="1"/>
    <col min="13" max="13" width="8.5" style="2" bestFit="1" customWidth="1"/>
    <col min="14" max="14" width="7" style="2" customWidth="1"/>
    <col min="15" max="15" width="6.75" style="2" bestFit="1" customWidth="1"/>
    <col min="16" max="16" width="9.375" style="2"/>
    <col min="17" max="18" width="7.5" style="2" customWidth="1"/>
    <col min="19" max="19" width="7.375" style="2" customWidth="1"/>
    <col min="20" max="22" width="6.75" style="2" bestFit="1" customWidth="1"/>
    <col min="23" max="23" width="6.75" style="2" customWidth="1"/>
    <col min="24" max="24" width="10.375" style="2" bestFit="1" customWidth="1"/>
    <col min="25" max="16384" width="9.375" style="2"/>
  </cols>
  <sheetData>
    <row r="1" spans="2:27" ht="20.45" customHeight="1" x14ac:dyDescent="0.15">
      <c r="B1" s="301" t="s">
        <v>283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</row>
    <row r="2" spans="2:27" x14ac:dyDescent="0.15">
      <c r="B2" s="303"/>
      <c r="C2" s="303"/>
      <c r="D2" s="303"/>
      <c r="E2" s="303"/>
      <c r="F2" s="303"/>
      <c r="G2" s="303"/>
      <c r="H2" s="303"/>
      <c r="I2" s="303"/>
      <c r="J2" s="303" t="s">
        <v>284</v>
      </c>
      <c r="K2" s="303"/>
      <c r="L2" s="303"/>
      <c r="M2" s="303" t="s">
        <v>285</v>
      </c>
      <c r="N2" s="303"/>
      <c r="O2" s="303"/>
      <c r="P2" s="303"/>
      <c r="Q2" s="304" t="s">
        <v>286</v>
      </c>
      <c r="R2" s="305"/>
      <c r="S2" s="305"/>
      <c r="T2" s="305"/>
      <c r="U2" s="305"/>
      <c r="V2" s="305"/>
      <c r="W2" s="306"/>
      <c r="X2" s="307"/>
      <c r="Y2" s="303" t="s">
        <v>287</v>
      </c>
      <c r="Z2" s="303"/>
      <c r="AA2" s="303" t="s">
        <v>288</v>
      </c>
    </row>
    <row r="3" spans="2:27" x14ac:dyDescent="0.15">
      <c r="B3" s="308" t="s">
        <v>94</v>
      </c>
      <c r="C3" s="309" t="s">
        <v>8</v>
      </c>
      <c r="D3" s="308" t="s">
        <v>11</v>
      </c>
      <c r="E3" s="309" t="s">
        <v>289</v>
      </c>
      <c r="F3" s="309" t="s">
        <v>7</v>
      </c>
      <c r="G3" s="309" t="s">
        <v>290</v>
      </c>
      <c r="H3" s="309" t="s">
        <v>291</v>
      </c>
      <c r="I3" s="309" t="s">
        <v>292</v>
      </c>
      <c r="J3" s="309" t="s">
        <v>293</v>
      </c>
      <c r="K3" s="309" t="s">
        <v>294</v>
      </c>
      <c r="L3" s="309" t="s">
        <v>295</v>
      </c>
      <c r="M3" s="309" t="s">
        <v>296</v>
      </c>
      <c r="N3" s="309" t="s">
        <v>297</v>
      </c>
      <c r="O3" s="309" t="s">
        <v>298</v>
      </c>
      <c r="P3" s="310" t="s">
        <v>299</v>
      </c>
      <c r="Q3" s="311" t="s">
        <v>300</v>
      </c>
      <c r="R3" s="312"/>
      <c r="S3" s="313"/>
      <c r="T3" s="314" t="s">
        <v>6</v>
      </c>
      <c r="U3" s="314" t="s">
        <v>301</v>
      </c>
      <c r="V3" s="315" t="s">
        <v>302</v>
      </c>
      <c r="W3" s="316"/>
      <c r="X3" s="317" t="s">
        <v>303</v>
      </c>
      <c r="Y3" s="309" t="s">
        <v>304</v>
      </c>
      <c r="Z3" s="309" t="s">
        <v>305</v>
      </c>
      <c r="AA3" s="310" t="s">
        <v>306</v>
      </c>
    </row>
    <row r="4" spans="2:27" x14ac:dyDescent="0.15">
      <c r="B4" s="308"/>
      <c r="C4" s="309" t="s">
        <v>307</v>
      </c>
      <c r="D4" s="309" t="s">
        <v>308</v>
      </c>
      <c r="E4" s="309" t="s">
        <v>309</v>
      </c>
      <c r="F4" s="309" t="s">
        <v>110</v>
      </c>
      <c r="G4" s="309" t="s">
        <v>309</v>
      </c>
      <c r="H4" s="309" t="s">
        <v>310</v>
      </c>
      <c r="I4" s="309" t="s">
        <v>309</v>
      </c>
      <c r="J4" s="309" t="s">
        <v>311</v>
      </c>
      <c r="K4" s="309" t="s">
        <v>309</v>
      </c>
      <c r="L4" s="309" t="s">
        <v>196</v>
      </c>
      <c r="M4" s="309" t="s">
        <v>312</v>
      </c>
      <c r="N4" s="309" t="s">
        <v>313</v>
      </c>
      <c r="O4" s="309" t="s">
        <v>309</v>
      </c>
      <c r="P4" s="310" t="s">
        <v>314</v>
      </c>
      <c r="Q4" s="308" t="s">
        <v>315</v>
      </c>
      <c r="R4" s="308" t="s">
        <v>316</v>
      </c>
      <c r="S4" s="308" t="s">
        <v>317</v>
      </c>
      <c r="T4" s="318" t="s">
        <v>318</v>
      </c>
      <c r="U4" s="318" t="s">
        <v>319</v>
      </c>
      <c r="V4" s="318"/>
      <c r="W4" s="319" t="s">
        <v>317</v>
      </c>
      <c r="X4" s="320" t="s">
        <v>320</v>
      </c>
      <c r="Y4" s="321" t="s">
        <v>321</v>
      </c>
      <c r="Z4" s="322" t="s">
        <v>274</v>
      </c>
      <c r="AA4" s="321" t="s">
        <v>322</v>
      </c>
    </row>
    <row r="5" spans="2:27" x14ac:dyDescent="0.15">
      <c r="B5" s="219" t="s">
        <v>25</v>
      </c>
      <c r="C5" s="299">
        <v>131604</v>
      </c>
      <c r="D5" s="299">
        <v>297219</v>
      </c>
      <c r="E5" s="323">
        <f t="shared" ref="E5:E52" si="0">D5/C5*100</f>
        <v>225.84343940913652</v>
      </c>
      <c r="F5" s="299">
        <v>87673</v>
      </c>
      <c r="G5" s="323">
        <f t="shared" ref="G5:G52" si="1">F5/C5*100</f>
        <v>66.618795781283239</v>
      </c>
      <c r="H5" s="299">
        <v>24700</v>
      </c>
      <c r="I5" s="323">
        <f t="shared" ref="I5:I22" si="2">H5/C5*100</f>
        <v>18.768426491595999</v>
      </c>
      <c r="J5" s="299">
        <v>11234</v>
      </c>
      <c r="K5" s="323">
        <f t="shared" ref="K5:K52" si="3">J5/C5*100</f>
        <v>8.536214704720221</v>
      </c>
      <c r="L5" s="323">
        <v>2</v>
      </c>
      <c r="M5" s="324"/>
      <c r="N5" s="324"/>
      <c r="O5" s="325">
        <f>J5/F5*100</f>
        <v>12.813522977427485</v>
      </c>
      <c r="P5" s="324"/>
      <c r="Q5" s="326" t="s">
        <v>26</v>
      </c>
      <c r="R5" s="326" t="s">
        <v>26</v>
      </c>
      <c r="S5" s="326"/>
      <c r="T5" s="326" t="s">
        <v>26</v>
      </c>
      <c r="U5" s="326" t="s">
        <v>26</v>
      </c>
      <c r="V5" s="326" t="s">
        <v>26</v>
      </c>
      <c r="W5" s="327"/>
      <c r="X5" s="328">
        <f>F5</f>
        <v>87673</v>
      </c>
      <c r="Y5" s="329"/>
      <c r="Z5" s="329"/>
      <c r="AA5" s="329"/>
    </row>
    <row r="6" spans="2:27" x14ac:dyDescent="0.15">
      <c r="B6" s="219" t="s">
        <v>28</v>
      </c>
      <c r="C6" s="299">
        <v>152504</v>
      </c>
      <c r="D6" s="299">
        <v>356188</v>
      </c>
      <c r="E6" s="323">
        <f t="shared" si="0"/>
        <v>233.55977548129886</v>
      </c>
      <c r="F6" s="299">
        <v>138947</v>
      </c>
      <c r="G6" s="323">
        <f t="shared" si="1"/>
        <v>91.110397104338247</v>
      </c>
      <c r="H6" s="299">
        <v>60700</v>
      </c>
      <c r="I6" s="323">
        <f t="shared" si="2"/>
        <v>39.802234695483399</v>
      </c>
      <c r="J6" s="299">
        <v>15481</v>
      </c>
      <c r="K6" s="323">
        <f t="shared" si="3"/>
        <v>10.151209148612496</v>
      </c>
      <c r="L6" s="323">
        <v>5.4</v>
      </c>
      <c r="M6" s="324"/>
      <c r="N6" s="324"/>
      <c r="O6" s="325">
        <f t="shared" ref="O6:O52" si="4">J6/F6*100</f>
        <v>11.141658330154664</v>
      </c>
      <c r="P6" s="324"/>
      <c r="Q6" s="326" t="s">
        <v>26</v>
      </c>
      <c r="R6" s="326" t="s">
        <v>26</v>
      </c>
      <c r="S6" s="326"/>
      <c r="T6" s="326" t="s">
        <v>26</v>
      </c>
      <c r="U6" s="326" t="s">
        <v>26</v>
      </c>
      <c r="V6" s="326" t="s">
        <v>26</v>
      </c>
      <c r="W6" s="327"/>
      <c r="X6" s="330">
        <f>F6</f>
        <v>138947</v>
      </c>
      <c r="Y6" s="324"/>
      <c r="Z6" s="324"/>
      <c r="AA6" s="324"/>
    </row>
    <row r="7" spans="2:27" x14ac:dyDescent="0.15">
      <c r="B7" s="219" t="s">
        <v>29</v>
      </c>
      <c r="C7" s="299">
        <v>177576</v>
      </c>
      <c r="D7" s="299">
        <v>389543</v>
      </c>
      <c r="E7" s="323">
        <f t="shared" si="0"/>
        <v>219.36691895301169</v>
      </c>
      <c r="F7" s="299">
        <v>181096</v>
      </c>
      <c r="G7" s="323">
        <f t="shared" si="1"/>
        <v>101.98224985358382</v>
      </c>
      <c r="H7" s="299">
        <v>54300</v>
      </c>
      <c r="I7" s="323">
        <f t="shared" si="2"/>
        <v>30.578456548182189</v>
      </c>
      <c r="J7" s="299">
        <v>21300</v>
      </c>
      <c r="K7" s="323">
        <f t="shared" si="3"/>
        <v>11.994864170833896</v>
      </c>
      <c r="L7" s="323">
        <v>6.3</v>
      </c>
      <c r="M7" s="324">
        <v>1</v>
      </c>
      <c r="N7" s="324"/>
      <c r="O7" s="325">
        <f t="shared" si="4"/>
        <v>11.761717542077129</v>
      </c>
      <c r="P7" s="324"/>
      <c r="Q7" s="326" t="s">
        <v>26</v>
      </c>
      <c r="R7" s="326" t="s">
        <v>26</v>
      </c>
      <c r="S7" s="326"/>
      <c r="T7" s="326" t="s">
        <v>26</v>
      </c>
      <c r="U7" s="326" t="s">
        <v>26</v>
      </c>
      <c r="V7" s="326" t="s">
        <v>26</v>
      </c>
      <c r="W7" s="327"/>
      <c r="X7" s="330">
        <f t="shared" ref="X7:X61" si="5">F7</f>
        <v>181096</v>
      </c>
      <c r="Y7" s="324"/>
      <c r="Z7" s="324"/>
      <c r="AA7" s="324"/>
    </row>
    <row r="8" spans="2:27" x14ac:dyDescent="0.15">
      <c r="B8" s="219" t="s">
        <v>30</v>
      </c>
      <c r="C8" s="299">
        <v>222555</v>
      </c>
      <c r="D8" s="299">
        <v>402012</v>
      </c>
      <c r="E8" s="323">
        <f t="shared" si="0"/>
        <v>180.63489923839052</v>
      </c>
      <c r="F8" s="299">
        <v>189100</v>
      </c>
      <c r="G8" s="323">
        <f t="shared" si="1"/>
        <v>84.967760778234592</v>
      </c>
      <c r="H8" s="299">
        <v>26600</v>
      </c>
      <c r="I8" s="323">
        <f t="shared" si="2"/>
        <v>11.952101727662825</v>
      </c>
      <c r="J8" s="299">
        <v>32498</v>
      </c>
      <c r="K8" s="323">
        <f t="shared" si="3"/>
        <v>14.602233155849115</v>
      </c>
      <c r="L8" s="323">
        <v>6.9</v>
      </c>
      <c r="M8" s="324">
        <v>3</v>
      </c>
      <c r="N8" s="324"/>
      <c r="O8" s="325">
        <f t="shared" si="4"/>
        <v>17.185616076150183</v>
      </c>
      <c r="P8" s="324"/>
      <c r="Q8" s="326" t="s">
        <v>26</v>
      </c>
      <c r="R8" s="326" t="s">
        <v>26</v>
      </c>
      <c r="S8" s="326"/>
      <c r="T8" s="326" t="s">
        <v>26</v>
      </c>
      <c r="U8" s="326" t="s">
        <v>26</v>
      </c>
      <c r="V8" s="326" t="s">
        <v>26</v>
      </c>
      <c r="W8" s="327"/>
      <c r="X8" s="330">
        <f t="shared" si="5"/>
        <v>189100</v>
      </c>
      <c r="Y8" s="324"/>
      <c r="Z8" s="324"/>
      <c r="AA8" s="324"/>
    </row>
    <row r="9" spans="2:27" x14ac:dyDescent="0.15">
      <c r="B9" s="219" t="s">
        <v>31</v>
      </c>
      <c r="C9" s="299">
        <v>271208</v>
      </c>
      <c r="D9" s="299">
        <v>500303</v>
      </c>
      <c r="E9" s="323">
        <f t="shared" si="0"/>
        <v>184.47206572077519</v>
      </c>
      <c r="F9" s="299">
        <v>211093</v>
      </c>
      <c r="G9" s="323">
        <f t="shared" si="1"/>
        <v>77.83435591870446</v>
      </c>
      <c r="H9" s="299">
        <v>40500</v>
      </c>
      <c r="I9" s="323">
        <f t="shared" si="2"/>
        <v>14.933187811568979</v>
      </c>
      <c r="J9" s="299">
        <v>22218</v>
      </c>
      <c r="K9" s="323">
        <f t="shared" si="3"/>
        <v>8.1922362172207315</v>
      </c>
      <c r="L9" s="323">
        <v>6.1</v>
      </c>
      <c r="M9" s="324">
        <v>5</v>
      </c>
      <c r="N9" s="324"/>
      <c r="O9" s="325">
        <f t="shared" si="4"/>
        <v>10.52521874245001</v>
      </c>
      <c r="P9" s="324"/>
      <c r="Q9" s="326" t="s">
        <v>26</v>
      </c>
      <c r="R9" s="326" t="s">
        <v>26</v>
      </c>
      <c r="S9" s="326"/>
      <c r="T9" s="326" t="s">
        <v>26</v>
      </c>
      <c r="U9" s="326" t="s">
        <v>26</v>
      </c>
      <c r="V9" s="326" t="s">
        <v>26</v>
      </c>
      <c r="W9" s="327"/>
      <c r="X9" s="330">
        <f t="shared" si="5"/>
        <v>211093</v>
      </c>
      <c r="Y9" s="324"/>
      <c r="Z9" s="324"/>
      <c r="AA9" s="324"/>
    </row>
    <row r="10" spans="2:27" x14ac:dyDescent="0.15">
      <c r="B10" s="219" t="s">
        <v>32</v>
      </c>
      <c r="C10" s="299">
        <v>336104</v>
      </c>
      <c r="D10" s="299">
        <v>621002</v>
      </c>
      <c r="E10" s="323">
        <f t="shared" si="0"/>
        <v>184.76483469402328</v>
      </c>
      <c r="F10" s="299">
        <v>235870</v>
      </c>
      <c r="G10" s="323">
        <f t="shared" si="1"/>
        <v>70.177683098088679</v>
      </c>
      <c r="H10" s="299">
        <v>45700</v>
      </c>
      <c r="I10" s="323">
        <f t="shared" si="2"/>
        <v>13.596981886558924</v>
      </c>
      <c r="J10" s="299">
        <v>33962</v>
      </c>
      <c r="K10" s="323">
        <f t="shared" si="3"/>
        <v>10.104610477709281</v>
      </c>
      <c r="L10" s="323">
        <v>5.9</v>
      </c>
      <c r="M10" s="331">
        <v>7</v>
      </c>
      <c r="N10" s="324"/>
      <c r="O10" s="325">
        <f t="shared" si="4"/>
        <v>14.398609403484972</v>
      </c>
      <c r="P10" s="324"/>
      <c r="Q10" s="326" t="s">
        <v>26</v>
      </c>
      <c r="R10" s="326" t="s">
        <v>26</v>
      </c>
      <c r="S10" s="326"/>
      <c r="T10" s="326" t="s">
        <v>26</v>
      </c>
      <c r="U10" s="326" t="s">
        <v>26</v>
      </c>
      <c r="V10" s="326" t="s">
        <v>26</v>
      </c>
      <c r="W10" s="327"/>
      <c r="X10" s="330">
        <f t="shared" si="5"/>
        <v>235870</v>
      </c>
      <c r="Y10" s="324"/>
      <c r="Z10" s="324"/>
      <c r="AA10" s="324"/>
    </row>
    <row r="11" spans="2:27" x14ac:dyDescent="0.15">
      <c r="B11" s="219" t="s">
        <v>33</v>
      </c>
      <c r="C11" s="299">
        <v>443442</v>
      </c>
      <c r="D11" s="299">
        <v>982055</v>
      </c>
      <c r="E11" s="323">
        <f t="shared" si="0"/>
        <v>221.46188227547233</v>
      </c>
      <c r="F11" s="299">
        <v>390124</v>
      </c>
      <c r="G11" s="323">
        <f t="shared" si="1"/>
        <v>87.97633061369919</v>
      </c>
      <c r="H11" s="299">
        <v>178400</v>
      </c>
      <c r="I11" s="323">
        <f t="shared" si="2"/>
        <v>40.23074043505126</v>
      </c>
      <c r="J11" s="299">
        <v>39067</v>
      </c>
      <c r="K11" s="323">
        <f t="shared" si="3"/>
        <v>8.8099458328259388</v>
      </c>
      <c r="L11" s="323">
        <v>5.5</v>
      </c>
      <c r="M11" s="331">
        <v>9</v>
      </c>
      <c r="N11" s="324"/>
      <c r="O11" s="325">
        <f t="shared" si="4"/>
        <v>10.013995550132778</v>
      </c>
      <c r="P11" s="324"/>
      <c r="Q11" s="326" t="s">
        <v>26</v>
      </c>
      <c r="R11" s="326" t="s">
        <v>26</v>
      </c>
      <c r="S11" s="326"/>
      <c r="T11" s="326" t="s">
        <v>26</v>
      </c>
      <c r="U11" s="326" t="s">
        <v>26</v>
      </c>
      <c r="V11" s="326" t="s">
        <v>26</v>
      </c>
      <c r="W11" s="327"/>
      <c r="X11" s="330">
        <f t="shared" si="5"/>
        <v>390124</v>
      </c>
      <c r="Y11" s="324"/>
      <c r="Z11" s="324"/>
      <c r="AA11" s="324"/>
    </row>
    <row r="12" spans="2:27" x14ac:dyDescent="0.15">
      <c r="B12" s="219" t="s">
        <v>34</v>
      </c>
      <c r="C12" s="299">
        <v>507605</v>
      </c>
      <c r="D12" s="299">
        <v>1316001</v>
      </c>
      <c r="E12" s="323">
        <f t="shared" si="0"/>
        <v>259.25690251278064</v>
      </c>
      <c r="F12" s="299">
        <v>692160</v>
      </c>
      <c r="G12" s="323">
        <f t="shared" si="1"/>
        <v>136.35799489760737</v>
      </c>
      <c r="H12" s="299">
        <v>328500</v>
      </c>
      <c r="I12" s="323">
        <f t="shared" si="2"/>
        <v>64.715674589493801</v>
      </c>
      <c r="J12" s="299">
        <v>52511</v>
      </c>
      <c r="K12" s="323">
        <f t="shared" si="3"/>
        <v>10.344854759113877</v>
      </c>
      <c r="L12" s="323">
        <v>8</v>
      </c>
      <c r="M12" s="331">
        <v>11</v>
      </c>
      <c r="N12" s="324"/>
      <c r="O12" s="325">
        <f t="shared" si="4"/>
        <v>7.5865406842348593</v>
      </c>
      <c r="P12" s="324"/>
      <c r="Q12" s="326" t="s">
        <v>26</v>
      </c>
      <c r="R12" s="326" t="s">
        <v>26</v>
      </c>
      <c r="S12" s="326"/>
      <c r="T12" s="326" t="s">
        <v>26</v>
      </c>
      <c r="U12" s="326" t="s">
        <v>26</v>
      </c>
      <c r="V12" s="326" t="s">
        <v>26</v>
      </c>
      <c r="W12" s="327"/>
      <c r="X12" s="330">
        <f t="shared" si="5"/>
        <v>692160</v>
      </c>
      <c r="Y12" s="324"/>
      <c r="Z12" s="324"/>
      <c r="AA12" s="324"/>
    </row>
    <row r="13" spans="2:27" x14ac:dyDescent="0.15">
      <c r="B13" s="219" t="s">
        <v>35</v>
      </c>
      <c r="C13" s="299">
        <v>598914</v>
      </c>
      <c r="D13" s="299">
        <v>1280043</v>
      </c>
      <c r="E13" s="323">
        <f t="shared" si="0"/>
        <v>213.72734649715986</v>
      </c>
      <c r="F13" s="299">
        <v>801531</v>
      </c>
      <c r="G13" s="323">
        <f t="shared" si="1"/>
        <v>133.83073362786644</v>
      </c>
      <c r="H13" s="299">
        <v>147600</v>
      </c>
      <c r="I13" s="323">
        <f t="shared" si="2"/>
        <v>24.644606738196135</v>
      </c>
      <c r="J13" s="299">
        <v>84146</v>
      </c>
      <c r="K13" s="323">
        <f t="shared" si="3"/>
        <v>14.049763405096558</v>
      </c>
      <c r="L13" s="323">
        <v>12.1</v>
      </c>
      <c r="M13" s="331">
        <v>13</v>
      </c>
      <c r="N13" s="324"/>
      <c r="O13" s="325">
        <f t="shared" si="4"/>
        <v>10.498159147930648</v>
      </c>
      <c r="P13" s="324"/>
      <c r="Q13" s="326" t="s">
        <v>26</v>
      </c>
      <c r="R13" s="326" t="s">
        <v>26</v>
      </c>
      <c r="S13" s="326"/>
      <c r="T13" s="326" t="s">
        <v>26</v>
      </c>
      <c r="U13" s="326" t="s">
        <v>26</v>
      </c>
      <c r="V13" s="326" t="s">
        <v>26</v>
      </c>
      <c r="W13" s="327"/>
      <c r="X13" s="330">
        <f t="shared" si="5"/>
        <v>801531</v>
      </c>
      <c r="Y13" s="324"/>
      <c r="Z13" s="324"/>
      <c r="AA13" s="324"/>
    </row>
    <row r="14" spans="2:27" x14ac:dyDescent="0.15">
      <c r="B14" s="219" t="s">
        <v>36</v>
      </c>
      <c r="C14" s="299">
        <v>825373</v>
      </c>
      <c r="D14" s="299">
        <v>1873223</v>
      </c>
      <c r="E14" s="323">
        <f t="shared" si="0"/>
        <v>226.9547222891953</v>
      </c>
      <c r="F14" s="299">
        <v>993244</v>
      </c>
      <c r="G14" s="323">
        <f t="shared" si="1"/>
        <v>120.33880439510378</v>
      </c>
      <c r="H14" s="299">
        <v>249900</v>
      </c>
      <c r="I14" s="323">
        <f t="shared" si="2"/>
        <v>30.277220117449925</v>
      </c>
      <c r="J14" s="299">
        <v>111157</v>
      </c>
      <c r="K14" s="323">
        <f t="shared" si="3"/>
        <v>13.46748682110997</v>
      </c>
      <c r="L14" s="323">
        <v>12.6999999999999</v>
      </c>
      <c r="M14" s="331">
        <v>15</v>
      </c>
      <c r="N14" s="324"/>
      <c r="O14" s="325">
        <f t="shared" si="4"/>
        <v>11.191308480091498</v>
      </c>
      <c r="P14" s="324"/>
      <c r="Q14" s="326" t="s">
        <v>26</v>
      </c>
      <c r="R14" s="326" t="s">
        <v>26</v>
      </c>
      <c r="S14" s="326"/>
      <c r="T14" s="326" t="s">
        <v>26</v>
      </c>
      <c r="U14" s="326" t="s">
        <v>26</v>
      </c>
      <c r="V14" s="326" t="s">
        <v>26</v>
      </c>
      <c r="W14" s="327"/>
      <c r="X14" s="330">
        <f t="shared" si="5"/>
        <v>993244</v>
      </c>
      <c r="Y14" s="324"/>
      <c r="Z14" s="324"/>
      <c r="AA14" s="324"/>
    </row>
    <row r="15" spans="2:27" x14ac:dyDescent="0.15">
      <c r="B15" s="219" t="s">
        <v>37</v>
      </c>
      <c r="C15" s="299">
        <v>928931</v>
      </c>
      <c r="D15" s="299">
        <v>1744713</v>
      </c>
      <c r="E15" s="323">
        <f t="shared" si="0"/>
        <v>187.81943976463268</v>
      </c>
      <c r="F15" s="299">
        <v>1063906</v>
      </c>
      <c r="G15" s="323">
        <f t="shared" si="1"/>
        <v>114.53014271242967</v>
      </c>
      <c r="H15" s="299">
        <v>143600</v>
      </c>
      <c r="I15" s="323">
        <f t="shared" si="2"/>
        <v>15.458629327689572</v>
      </c>
      <c r="J15" s="299">
        <v>140112</v>
      </c>
      <c r="K15" s="323">
        <f t="shared" si="3"/>
        <v>15.083143957947362</v>
      </c>
      <c r="L15" s="323">
        <v>14.5</v>
      </c>
      <c r="M15" s="324">
        <v>16</v>
      </c>
      <c r="N15" s="324"/>
      <c r="O15" s="325">
        <f t="shared" si="4"/>
        <v>13.169584530964201</v>
      </c>
      <c r="P15" s="324"/>
      <c r="Q15" s="326" t="s">
        <v>26</v>
      </c>
      <c r="R15" s="326" t="s">
        <v>26</v>
      </c>
      <c r="S15" s="326"/>
      <c r="T15" s="326" t="s">
        <v>26</v>
      </c>
      <c r="U15" s="326" t="s">
        <v>26</v>
      </c>
      <c r="V15" s="326" t="s">
        <v>26</v>
      </c>
      <c r="W15" s="327"/>
      <c r="X15" s="330">
        <f t="shared" si="5"/>
        <v>1063906</v>
      </c>
      <c r="Y15" s="324"/>
      <c r="Z15" s="324"/>
      <c r="AA15" s="324"/>
    </row>
    <row r="16" spans="2:27" x14ac:dyDescent="0.15">
      <c r="B16" s="219" t="s">
        <v>38</v>
      </c>
      <c r="C16" s="299">
        <v>1068956</v>
      </c>
      <c r="D16" s="299">
        <v>2121506</v>
      </c>
      <c r="E16" s="323">
        <f t="shared" si="0"/>
        <v>198.46523149689978</v>
      </c>
      <c r="F16" s="299">
        <v>1221486</v>
      </c>
      <c r="G16" s="323">
        <f t="shared" si="1"/>
        <v>114.26906252455666</v>
      </c>
      <c r="H16" s="299">
        <v>252200</v>
      </c>
      <c r="I16" s="323">
        <f t="shared" si="2"/>
        <v>23.593113280621466</v>
      </c>
      <c r="J16" s="299">
        <v>169021</v>
      </c>
      <c r="K16" s="323">
        <f t="shared" si="3"/>
        <v>15.811782711355754</v>
      </c>
      <c r="L16" s="323">
        <v>15.3</v>
      </c>
      <c r="M16" s="324">
        <v>17</v>
      </c>
      <c r="N16" s="324"/>
      <c r="O16" s="325">
        <f t="shared" si="4"/>
        <v>13.837326011104507</v>
      </c>
      <c r="P16" s="324"/>
      <c r="Q16" s="326" t="s">
        <v>26</v>
      </c>
      <c r="R16" s="326" t="s">
        <v>26</v>
      </c>
      <c r="S16" s="326"/>
      <c r="T16" s="326" t="s">
        <v>26</v>
      </c>
      <c r="U16" s="326" t="s">
        <v>26</v>
      </c>
      <c r="V16" s="326" t="s">
        <v>26</v>
      </c>
      <c r="W16" s="327"/>
      <c r="X16" s="330">
        <f t="shared" si="5"/>
        <v>1221486</v>
      </c>
      <c r="Y16" s="324"/>
      <c r="Z16" s="324"/>
      <c r="AA16" s="324"/>
    </row>
    <row r="17" spans="2:27" x14ac:dyDescent="0.15">
      <c r="B17" s="219" t="s">
        <v>39</v>
      </c>
      <c r="C17" s="299">
        <v>1208521</v>
      </c>
      <c r="D17" s="299">
        <v>2586410</v>
      </c>
      <c r="E17" s="323">
        <f t="shared" si="0"/>
        <v>214.01448547439389</v>
      </c>
      <c r="F17" s="299">
        <v>1407873</v>
      </c>
      <c r="G17" s="323">
        <f t="shared" si="1"/>
        <v>116.49553462455349</v>
      </c>
      <c r="H17" s="299">
        <v>282100</v>
      </c>
      <c r="I17" s="323">
        <f t="shared" si="2"/>
        <v>23.342581552161693</v>
      </c>
      <c r="J17" s="299">
        <v>177614</v>
      </c>
      <c r="K17" s="323">
        <f t="shared" si="3"/>
        <v>14.696807088995559</v>
      </c>
      <c r="L17" s="323">
        <v>13.9</v>
      </c>
      <c r="M17" s="324">
        <v>19</v>
      </c>
      <c r="N17" s="324"/>
      <c r="O17" s="325">
        <f t="shared" si="4"/>
        <v>12.615768609810685</v>
      </c>
      <c r="P17" s="324"/>
      <c r="Q17" s="326" t="s">
        <v>26</v>
      </c>
      <c r="R17" s="326" t="s">
        <v>26</v>
      </c>
      <c r="S17" s="326"/>
      <c r="T17" s="326" t="s">
        <v>26</v>
      </c>
      <c r="U17" s="326" t="s">
        <v>26</v>
      </c>
      <c r="V17" s="326" t="s">
        <v>26</v>
      </c>
      <c r="W17" s="327"/>
      <c r="X17" s="330">
        <f t="shared" si="5"/>
        <v>1407873</v>
      </c>
      <c r="Y17" s="324"/>
      <c r="Z17" s="324"/>
      <c r="AA17" s="324"/>
    </row>
    <row r="18" spans="2:27" x14ac:dyDescent="0.15">
      <c r="B18" s="219" t="s">
        <v>40</v>
      </c>
      <c r="C18" s="299">
        <v>1436914</v>
      </c>
      <c r="D18" s="299">
        <v>3341991</v>
      </c>
      <c r="E18" s="323">
        <f t="shared" si="0"/>
        <v>232.58114264319229</v>
      </c>
      <c r="F18" s="299">
        <v>1672777</v>
      </c>
      <c r="G18" s="323">
        <f t="shared" si="1"/>
        <v>116.41455229749309</v>
      </c>
      <c r="H18" s="299">
        <v>378000</v>
      </c>
      <c r="I18" s="323">
        <f t="shared" si="2"/>
        <v>26.306376025287527</v>
      </c>
      <c r="J18" s="299">
        <v>207338</v>
      </c>
      <c r="K18" s="323">
        <f t="shared" si="3"/>
        <v>14.42939521780705</v>
      </c>
      <c r="L18" s="323">
        <v>13.6</v>
      </c>
      <c r="M18" s="324">
        <v>21</v>
      </c>
      <c r="N18" s="324"/>
      <c r="O18" s="325">
        <f t="shared" si="4"/>
        <v>12.394838044760299</v>
      </c>
      <c r="P18" s="324"/>
      <c r="Q18" s="326" t="s">
        <v>26</v>
      </c>
      <c r="R18" s="326" t="s">
        <v>26</v>
      </c>
      <c r="S18" s="326"/>
      <c r="T18" s="326" t="s">
        <v>26</v>
      </c>
      <c r="U18" s="326" t="s">
        <v>26</v>
      </c>
      <c r="V18" s="326" t="s">
        <v>26</v>
      </c>
      <c r="W18" s="327"/>
      <c r="X18" s="330">
        <f t="shared" si="5"/>
        <v>1672777</v>
      </c>
      <c r="Y18" s="324"/>
      <c r="Z18" s="324"/>
      <c r="AA18" s="324"/>
    </row>
    <row r="19" spans="2:27" x14ac:dyDescent="0.15">
      <c r="B19" s="219" t="s">
        <v>41</v>
      </c>
      <c r="C19" s="299">
        <v>1618523</v>
      </c>
      <c r="D19" s="299">
        <v>3296516</v>
      </c>
      <c r="E19" s="323">
        <f t="shared" si="0"/>
        <v>203.67433765229163</v>
      </c>
      <c r="F19" s="299">
        <v>1939424</v>
      </c>
      <c r="G19" s="323">
        <f t="shared" si="1"/>
        <v>119.82678034232445</v>
      </c>
      <c r="H19" s="299">
        <v>494700</v>
      </c>
      <c r="I19" s="323">
        <f t="shared" si="2"/>
        <v>30.56490392784038</v>
      </c>
      <c r="J19" s="299">
        <v>339754</v>
      </c>
      <c r="K19" s="323">
        <f t="shared" si="3"/>
        <v>20.991607780674109</v>
      </c>
      <c r="L19" s="323">
        <v>12.5</v>
      </c>
      <c r="M19" s="324">
        <v>13.6</v>
      </c>
      <c r="N19" s="324"/>
      <c r="O19" s="325">
        <f t="shared" si="4"/>
        <v>17.518294091441582</v>
      </c>
      <c r="P19" s="324"/>
      <c r="Q19" s="326" t="s">
        <v>26</v>
      </c>
      <c r="R19" s="326" t="s">
        <v>26</v>
      </c>
      <c r="S19" s="326"/>
      <c r="T19" s="326" t="s">
        <v>26</v>
      </c>
      <c r="U19" s="326" t="s">
        <v>26</v>
      </c>
      <c r="V19" s="326" t="s">
        <v>26</v>
      </c>
      <c r="W19" s="327"/>
      <c r="X19" s="330">
        <f t="shared" si="5"/>
        <v>1939424</v>
      </c>
      <c r="Y19" s="324"/>
      <c r="Z19" s="324"/>
      <c r="AA19" s="324"/>
    </row>
    <row r="20" spans="2:27" x14ac:dyDescent="0.15">
      <c r="B20" s="219" t="s">
        <v>42</v>
      </c>
      <c r="C20" s="299">
        <v>1741392</v>
      </c>
      <c r="D20" s="299">
        <v>2863219</v>
      </c>
      <c r="E20" s="323">
        <f t="shared" si="0"/>
        <v>164.42127906869905</v>
      </c>
      <c r="F20" s="299">
        <v>1862625</v>
      </c>
      <c r="G20" s="323">
        <f t="shared" si="1"/>
        <v>106.96184431764932</v>
      </c>
      <c r="H20" s="299">
        <v>114000</v>
      </c>
      <c r="I20" s="323">
        <f t="shared" si="2"/>
        <v>6.546486948372336</v>
      </c>
      <c r="J20" s="299">
        <v>319616</v>
      </c>
      <c r="K20" s="323">
        <f t="shared" si="3"/>
        <v>18.35405239027169</v>
      </c>
      <c r="L20" s="323">
        <v>9.3000000000000007</v>
      </c>
      <c r="M20" s="324">
        <v>12.6</v>
      </c>
      <c r="N20" s="324"/>
      <c r="O20" s="325">
        <f t="shared" si="4"/>
        <v>17.159438963827931</v>
      </c>
      <c r="P20" s="324"/>
      <c r="Q20" s="326" t="s">
        <v>26</v>
      </c>
      <c r="R20" s="326" t="s">
        <v>26</v>
      </c>
      <c r="S20" s="326"/>
      <c r="T20" s="326" t="s">
        <v>26</v>
      </c>
      <c r="U20" s="326" t="s">
        <v>26</v>
      </c>
      <c r="V20" s="326" t="s">
        <v>26</v>
      </c>
      <c r="W20" s="327"/>
      <c r="X20" s="330">
        <f t="shared" si="5"/>
        <v>1862625</v>
      </c>
      <c r="Y20" s="324"/>
      <c r="Z20" s="324"/>
      <c r="AA20" s="324"/>
    </row>
    <row r="21" spans="2:27" x14ac:dyDescent="0.15">
      <c r="B21" s="219" t="s">
        <v>43</v>
      </c>
      <c r="C21" s="299">
        <v>1986896</v>
      </c>
      <c r="D21" s="299">
        <v>3512321</v>
      </c>
      <c r="E21" s="323">
        <f t="shared" si="0"/>
        <v>176.77427505012844</v>
      </c>
      <c r="F21" s="299">
        <v>2041428</v>
      </c>
      <c r="G21" s="323">
        <f t="shared" si="1"/>
        <v>102.74458250456995</v>
      </c>
      <c r="H21" s="299">
        <v>274200</v>
      </c>
      <c r="I21" s="323">
        <f t="shared" si="2"/>
        <v>13.800420354160458</v>
      </c>
      <c r="J21" s="299">
        <v>221756</v>
      </c>
      <c r="K21" s="323">
        <f t="shared" si="3"/>
        <v>11.160926389705351</v>
      </c>
      <c r="L21" s="323">
        <v>9.1999999999999904</v>
      </c>
      <c r="M21" s="324">
        <v>12.5</v>
      </c>
      <c r="N21" s="332">
        <v>9.6</v>
      </c>
      <c r="O21" s="325">
        <f t="shared" si="4"/>
        <v>10.862788205119161</v>
      </c>
      <c r="P21" s="332"/>
      <c r="Q21" s="326" t="s">
        <v>26</v>
      </c>
      <c r="R21" s="326" t="s">
        <v>26</v>
      </c>
      <c r="S21" s="326"/>
      <c r="T21" s="326" t="s">
        <v>26</v>
      </c>
      <c r="U21" s="326" t="s">
        <v>26</v>
      </c>
      <c r="V21" s="326" t="s">
        <v>26</v>
      </c>
      <c r="W21" s="327"/>
      <c r="X21" s="330">
        <f t="shared" si="5"/>
        <v>2041428</v>
      </c>
      <c r="Y21" s="332"/>
      <c r="Z21" s="332"/>
      <c r="AA21" s="332"/>
    </row>
    <row r="22" spans="2:27" x14ac:dyDescent="0.15">
      <c r="B22" s="219" t="s">
        <v>44</v>
      </c>
      <c r="C22" s="299">
        <v>2275154</v>
      </c>
      <c r="D22" s="299">
        <v>4420325</v>
      </c>
      <c r="E22" s="323">
        <f t="shared" si="0"/>
        <v>194.28684827488601</v>
      </c>
      <c r="F22" s="299">
        <v>2664140</v>
      </c>
      <c r="G22" s="323">
        <f t="shared" si="1"/>
        <v>117.09712837021142</v>
      </c>
      <c r="H22" s="299">
        <v>726800</v>
      </c>
      <c r="I22" s="323">
        <f t="shared" si="2"/>
        <v>31.945090310370201</v>
      </c>
      <c r="J22" s="299">
        <v>241666</v>
      </c>
      <c r="K22" s="323">
        <f t="shared" si="3"/>
        <v>10.621962293541449</v>
      </c>
      <c r="L22" s="323">
        <v>9.1999999999999904</v>
      </c>
      <c r="M22" s="324">
        <v>12.1</v>
      </c>
      <c r="N22" s="332">
        <v>8.4</v>
      </c>
      <c r="O22" s="325">
        <f t="shared" si="4"/>
        <v>9.0710698386721429</v>
      </c>
      <c r="P22" s="332"/>
      <c r="Q22" s="326" t="s">
        <v>26</v>
      </c>
      <c r="R22" s="326" t="s">
        <v>26</v>
      </c>
      <c r="S22" s="326"/>
      <c r="T22" s="326" t="s">
        <v>26</v>
      </c>
      <c r="U22" s="326" t="s">
        <v>26</v>
      </c>
      <c r="V22" s="326" t="s">
        <v>26</v>
      </c>
      <c r="W22" s="327"/>
      <c r="X22" s="330">
        <f t="shared" si="5"/>
        <v>2664140</v>
      </c>
      <c r="Y22" s="332"/>
      <c r="Z22" s="332"/>
      <c r="AA22" s="332"/>
    </row>
    <row r="23" spans="2:27" x14ac:dyDescent="0.15">
      <c r="B23" s="219" t="s">
        <v>45</v>
      </c>
      <c r="C23" s="299">
        <v>2396594</v>
      </c>
      <c r="D23" s="299">
        <v>4042022</v>
      </c>
      <c r="E23" s="323">
        <f t="shared" si="0"/>
        <v>168.65693563448792</v>
      </c>
      <c r="F23" s="299">
        <v>2547984</v>
      </c>
      <c r="G23" s="323">
        <f t="shared" si="1"/>
        <v>106.31688137415014</v>
      </c>
      <c r="H23" s="326" t="s">
        <v>26</v>
      </c>
      <c r="I23" s="326" t="s">
        <v>26</v>
      </c>
      <c r="J23" s="299">
        <v>292770</v>
      </c>
      <c r="K23" s="323">
        <f t="shared" si="3"/>
        <v>12.216086662989225</v>
      </c>
      <c r="L23" s="323">
        <v>10.4</v>
      </c>
      <c r="M23" s="324">
        <v>13.4</v>
      </c>
      <c r="N23" s="332">
        <v>8.6</v>
      </c>
      <c r="O23" s="325">
        <f t="shared" si="4"/>
        <v>11.490260535387979</v>
      </c>
      <c r="P23" s="332"/>
      <c r="Q23" s="326" t="s">
        <v>26</v>
      </c>
      <c r="R23" s="326" t="s">
        <v>26</v>
      </c>
      <c r="S23" s="326"/>
      <c r="T23" s="326" t="s">
        <v>26</v>
      </c>
      <c r="U23" s="326" t="s">
        <v>26</v>
      </c>
      <c r="V23" s="326" t="s">
        <v>26</v>
      </c>
      <c r="W23" s="327"/>
      <c r="X23" s="330">
        <f t="shared" si="5"/>
        <v>2547984</v>
      </c>
      <c r="Y23" s="332"/>
      <c r="Z23" s="332"/>
      <c r="AA23" s="332"/>
    </row>
    <row r="24" spans="2:27" x14ac:dyDescent="0.15">
      <c r="B24" s="219" t="s">
        <v>46</v>
      </c>
      <c r="C24" s="299">
        <v>2422918</v>
      </c>
      <c r="D24" s="299">
        <v>3666722</v>
      </c>
      <c r="E24" s="323">
        <f t="shared" si="0"/>
        <v>151.33496057233469</v>
      </c>
      <c r="F24" s="299">
        <v>2423006</v>
      </c>
      <c r="G24" s="323">
        <f t="shared" si="1"/>
        <v>100.0036319842438</v>
      </c>
      <c r="H24" s="326" t="s">
        <v>26</v>
      </c>
      <c r="I24" s="326" t="s">
        <v>26</v>
      </c>
      <c r="J24" s="299">
        <v>302380</v>
      </c>
      <c r="K24" s="323">
        <f t="shared" si="3"/>
        <v>12.479993132247975</v>
      </c>
      <c r="L24" s="323">
        <v>10.8</v>
      </c>
      <c r="M24" s="324">
        <v>14.1</v>
      </c>
      <c r="N24" s="332">
        <v>8.9</v>
      </c>
      <c r="O24" s="325">
        <f t="shared" si="4"/>
        <v>12.479539877325934</v>
      </c>
      <c r="P24" s="332"/>
      <c r="Q24" s="326" t="s">
        <v>26</v>
      </c>
      <c r="R24" s="326" t="s">
        <v>26</v>
      </c>
      <c r="S24" s="326"/>
      <c r="T24" s="326" t="s">
        <v>26</v>
      </c>
      <c r="U24" s="326" t="s">
        <v>26</v>
      </c>
      <c r="V24" s="326" t="s">
        <v>26</v>
      </c>
      <c r="W24" s="327"/>
      <c r="X24" s="330">
        <f t="shared" si="5"/>
        <v>2423006</v>
      </c>
      <c r="Y24" s="332"/>
      <c r="Z24" s="332"/>
      <c r="AA24" s="332"/>
    </row>
    <row r="25" spans="2:27" x14ac:dyDescent="0.15">
      <c r="B25" s="219" t="s">
        <v>47</v>
      </c>
      <c r="C25" s="299">
        <v>2697138</v>
      </c>
      <c r="D25" s="299">
        <v>3937919</v>
      </c>
      <c r="E25" s="323">
        <f t="shared" si="0"/>
        <v>146.00361568447738</v>
      </c>
      <c r="F25" s="299">
        <v>2500100</v>
      </c>
      <c r="G25" s="323">
        <f t="shared" si="1"/>
        <v>92.694552521969584</v>
      </c>
      <c r="H25" s="299">
        <v>231000</v>
      </c>
      <c r="I25" s="323">
        <f t="shared" ref="I25:I52" si="6">H25/C25*100</f>
        <v>8.5646340676672832</v>
      </c>
      <c r="J25" s="299">
        <v>322120</v>
      </c>
      <c r="K25" s="323">
        <f t="shared" si="3"/>
        <v>11.943029982151451</v>
      </c>
      <c r="L25" s="323">
        <v>10.1999999999999</v>
      </c>
      <c r="M25" s="324">
        <v>13.1999999999999</v>
      </c>
      <c r="N25" s="332">
        <v>9</v>
      </c>
      <c r="O25" s="325">
        <f t="shared" si="4"/>
        <v>12.884284628614855</v>
      </c>
      <c r="P25" s="332"/>
      <c r="Q25" s="326" t="s">
        <v>26</v>
      </c>
      <c r="R25" s="326" t="s">
        <v>26</v>
      </c>
      <c r="S25" s="326"/>
      <c r="T25" s="326" t="s">
        <v>26</v>
      </c>
      <c r="U25" s="326" t="s">
        <v>26</v>
      </c>
      <c r="V25" s="326" t="s">
        <v>26</v>
      </c>
      <c r="W25" s="327"/>
      <c r="X25" s="330">
        <f t="shared" si="5"/>
        <v>2500100</v>
      </c>
      <c r="Y25" s="332"/>
      <c r="Z25" s="332"/>
      <c r="AA25" s="332"/>
    </row>
    <row r="26" spans="2:27" x14ac:dyDescent="0.15">
      <c r="B26" s="219" t="s">
        <v>48</v>
      </c>
      <c r="C26" s="299">
        <v>2892986</v>
      </c>
      <c r="D26" s="299">
        <v>4297258</v>
      </c>
      <c r="E26" s="323">
        <f t="shared" si="0"/>
        <v>148.54057364950955</v>
      </c>
      <c r="F26" s="333">
        <v>2639329</v>
      </c>
      <c r="G26" s="323">
        <f t="shared" si="1"/>
        <v>91.232000431388201</v>
      </c>
      <c r="H26" s="299">
        <v>311400</v>
      </c>
      <c r="I26" s="323">
        <f t="shared" si="6"/>
        <v>10.763964982893109</v>
      </c>
      <c r="J26" s="299">
        <v>339210</v>
      </c>
      <c r="K26" s="323">
        <f t="shared" si="3"/>
        <v>11.725255497261307</v>
      </c>
      <c r="L26" s="323">
        <v>9.8000000000000007</v>
      </c>
      <c r="M26" s="324">
        <v>13.6999999999999</v>
      </c>
      <c r="N26" s="332">
        <v>8.6999999999999904</v>
      </c>
      <c r="O26" s="325">
        <f t="shared" si="4"/>
        <v>12.852130219461083</v>
      </c>
      <c r="P26" s="332"/>
      <c r="Q26" s="326" t="s">
        <v>26</v>
      </c>
      <c r="R26" s="326" t="s">
        <v>26</v>
      </c>
      <c r="S26" s="326"/>
      <c r="T26" s="326" t="s">
        <v>26</v>
      </c>
      <c r="U26" s="326" t="s">
        <v>26</v>
      </c>
      <c r="V26" s="326" t="s">
        <v>26</v>
      </c>
      <c r="W26" s="327"/>
      <c r="X26" s="330">
        <f t="shared" si="5"/>
        <v>2639329</v>
      </c>
      <c r="Y26" s="332"/>
      <c r="Z26" s="332"/>
      <c r="AA26" s="332"/>
    </row>
    <row r="27" spans="2:27" x14ac:dyDescent="0.15">
      <c r="B27" s="219" t="s">
        <v>49</v>
      </c>
      <c r="C27" s="299">
        <v>2946619</v>
      </c>
      <c r="D27" s="299">
        <v>4683977</v>
      </c>
      <c r="E27" s="323">
        <f t="shared" si="0"/>
        <v>158.96106690413657</v>
      </c>
      <c r="F27" s="299">
        <v>2922237</v>
      </c>
      <c r="G27" s="323">
        <f t="shared" si="1"/>
        <v>99.172543175754996</v>
      </c>
      <c r="H27" s="299">
        <v>457000</v>
      </c>
      <c r="I27" s="323">
        <f t="shared" si="6"/>
        <v>15.509300659501617</v>
      </c>
      <c r="J27" s="299">
        <v>340185</v>
      </c>
      <c r="K27" s="323">
        <f t="shared" si="3"/>
        <v>11.544926575169711</v>
      </c>
      <c r="L27" s="323">
        <v>9.9</v>
      </c>
      <c r="M27" s="324">
        <v>12.6999999999999</v>
      </c>
      <c r="N27" s="332">
        <v>8.4</v>
      </c>
      <c r="O27" s="325">
        <f t="shared" si="4"/>
        <v>11.641252916857873</v>
      </c>
      <c r="P27" s="332"/>
      <c r="Q27" s="326" t="s">
        <v>26</v>
      </c>
      <c r="R27" s="326" t="s">
        <v>26</v>
      </c>
      <c r="S27" s="326"/>
      <c r="T27" s="326" t="s">
        <v>26</v>
      </c>
      <c r="U27" s="326" t="s">
        <v>26</v>
      </c>
      <c r="V27" s="326" t="s">
        <v>26</v>
      </c>
      <c r="W27" s="327"/>
      <c r="X27" s="330">
        <f t="shared" si="5"/>
        <v>2922237</v>
      </c>
      <c r="Y27" s="332"/>
      <c r="Z27" s="332"/>
      <c r="AA27" s="332"/>
    </row>
    <row r="28" spans="2:27" x14ac:dyDescent="0.15">
      <c r="B28" s="219" t="s">
        <v>50</v>
      </c>
      <c r="C28" s="299">
        <v>3157915</v>
      </c>
      <c r="D28" s="299">
        <v>4918742</v>
      </c>
      <c r="E28" s="323">
        <f t="shared" si="0"/>
        <v>155.75916387869844</v>
      </c>
      <c r="F28" s="299">
        <v>2979406</v>
      </c>
      <c r="G28" s="323">
        <f t="shared" si="1"/>
        <v>94.347251271804339</v>
      </c>
      <c r="H28" s="299">
        <v>318700</v>
      </c>
      <c r="I28" s="323">
        <f t="shared" si="6"/>
        <v>10.092101909012751</v>
      </c>
      <c r="J28" s="299">
        <v>441655</v>
      </c>
      <c r="K28" s="323">
        <f t="shared" si="3"/>
        <v>13.985651925400145</v>
      </c>
      <c r="L28" s="323">
        <v>9.6999999999999904</v>
      </c>
      <c r="M28" s="324">
        <v>13.5</v>
      </c>
      <c r="N28" s="332">
        <v>8.1999999999999904</v>
      </c>
      <c r="O28" s="325">
        <f t="shared" si="4"/>
        <v>14.823592353643647</v>
      </c>
      <c r="P28" s="332"/>
      <c r="Q28" s="326" t="s">
        <v>26</v>
      </c>
      <c r="R28" s="326" t="s">
        <v>26</v>
      </c>
      <c r="S28" s="326"/>
      <c r="T28" s="326" t="s">
        <v>26</v>
      </c>
      <c r="U28" s="326" t="s">
        <v>26</v>
      </c>
      <c r="V28" s="326" t="s">
        <v>26</v>
      </c>
      <c r="W28" s="327"/>
      <c r="X28" s="330">
        <f t="shared" si="5"/>
        <v>2979406</v>
      </c>
      <c r="Y28" s="332"/>
      <c r="Z28" s="332"/>
      <c r="AA28" s="332"/>
    </row>
    <row r="29" spans="2:27" x14ac:dyDescent="0.15">
      <c r="B29" s="219" t="s">
        <v>51</v>
      </c>
      <c r="C29" s="299">
        <v>3620461</v>
      </c>
      <c r="D29" s="299">
        <v>5627688</v>
      </c>
      <c r="E29" s="323">
        <f t="shared" si="0"/>
        <v>155.4411993389792</v>
      </c>
      <c r="F29" s="299">
        <v>3423956</v>
      </c>
      <c r="G29" s="323">
        <f t="shared" si="1"/>
        <v>94.572376280258226</v>
      </c>
      <c r="H29" s="299">
        <v>633100</v>
      </c>
      <c r="I29" s="323">
        <f t="shared" si="6"/>
        <v>17.486723375835286</v>
      </c>
      <c r="J29" s="299">
        <v>378108</v>
      </c>
      <c r="K29" s="323">
        <f t="shared" si="3"/>
        <v>10.443642398026109</v>
      </c>
      <c r="L29" s="323">
        <v>8.9</v>
      </c>
      <c r="M29" s="324">
        <v>12.1999999999999</v>
      </c>
      <c r="N29" s="332">
        <v>7.9</v>
      </c>
      <c r="O29" s="325">
        <f t="shared" si="4"/>
        <v>11.043015739688244</v>
      </c>
      <c r="P29" s="332"/>
      <c r="Q29" s="326" t="s">
        <v>26</v>
      </c>
      <c r="R29" s="326" t="s">
        <v>26</v>
      </c>
      <c r="S29" s="326"/>
      <c r="T29" s="326" t="s">
        <v>26</v>
      </c>
      <c r="U29" s="326" t="s">
        <v>26</v>
      </c>
      <c r="V29" s="326" t="s">
        <v>26</v>
      </c>
      <c r="W29" s="327"/>
      <c r="X29" s="330">
        <f t="shared" si="5"/>
        <v>3423956</v>
      </c>
      <c r="Y29" s="332"/>
      <c r="Z29" s="332"/>
      <c r="AA29" s="332"/>
    </row>
    <row r="30" spans="2:27" x14ac:dyDescent="0.15">
      <c r="B30" s="219" t="s">
        <v>53</v>
      </c>
      <c r="C30" s="299">
        <v>3928739</v>
      </c>
      <c r="D30" s="299">
        <v>6638708</v>
      </c>
      <c r="E30" s="323">
        <f t="shared" si="0"/>
        <v>168.97808686196768</v>
      </c>
      <c r="F30" s="299">
        <v>4281738</v>
      </c>
      <c r="G30" s="323">
        <f t="shared" si="1"/>
        <v>108.985045837863</v>
      </c>
      <c r="H30" s="299">
        <v>1089700</v>
      </c>
      <c r="I30" s="323">
        <f t="shared" si="6"/>
        <v>27.736635088256058</v>
      </c>
      <c r="J30" s="299">
        <v>425794</v>
      </c>
      <c r="K30" s="323">
        <f t="shared" si="3"/>
        <v>10.837930440276129</v>
      </c>
      <c r="L30" s="323">
        <v>9.6999999999999904</v>
      </c>
      <c r="M30" s="324">
        <v>13.6</v>
      </c>
      <c r="N30" s="332">
        <v>7.9</v>
      </c>
      <c r="O30" s="325">
        <f t="shared" si="4"/>
        <v>9.9444197659922207</v>
      </c>
      <c r="P30" s="332"/>
      <c r="Q30" s="326" t="s">
        <v>26</v>
      </c>
      <c r="R30" s="326" t="s">
        <v>26</v>
      </c>
      <c r="S30" s="326"/>
      <c r="T30" s="326" t="s">
        <v>26</v>
      </c>
      <c r="U30" s="326" t="s">
        <v>26</v>
      </c>
      <c r="V30" s="326" t="s">
        <v>26</v>
      </c>
      <c r="W30" s="327"/>
      <c r="X30" s="330">
        <f t="shared" si="5"/>
        <v>4281738</v>
      </c>
      <c r="Y30" s="332"/>
      <c r="Z30" s="332"/>
      <c r="AA30" s="332"/>
    </row>
    <row r="31" spans="2:27" x14ac:dyDescent="0.15">
      <c r="B31" s="219" t="s">
        <v>54</v>
      </c>
      <c r="C31" s="299">
        <v>4437530</v>
      </c>
      <c r="D31" s="299">
        <v>6922794</v>
      </c>
      <c r="E31" s="323">
        <f t="shared" si="0"/>
        <v>156.00557066656449</v>
      </c>
      <c r="F31" s="299">
        <v>4978890</v>
      </c>
      <c r="G31" s="323">
        <f t="shared" si="1"/>
        <v>112.19957949580059</v>
      </c>
      <c r="H31" s="299">
        <v>944800</v>
      </c>
      <c r="I31" s="323">
        <f t="shared" si="6"/>
        <v>21.291123665642825</v>
      </c>
      <c r="J31" s="299">
        <v>488027</v>
      </c>
      <c r="K31" s="323">
        <f t="shared" si="3"/>
        <v>10.997717198531616</v>
      </c>
      <c r="L31" s="323">
        <v>10</v>
      </c>
      <c r="M31" s="324">
        <v>12.3</v>
      </c>
      <c r="N31" s="332">
        <v>8</v>
      </c>
      <c r="O31" s="325">
        <f t="shared" si="4"/>
        <v>9.8019237219540916</v>
      </c>
      <c r="P31" s="332"/>
      <c r="Q31" s="326" t="s">
        <v>26</v>
      </c>
      <c r="R31" s="326" t="s">
        <v>26</v>
      </c>
      <c r="S31" s="326"/>
      <c r="T31" s="326" t="s">
        <v>26</v>
      </c>
      <c r="U31" s="326" t="s">
        <v>26</v>
      </c>
      <c r="V31" s="326" t="s">
        <v>26</v>
      </c>
      <c r="W31" s="327"/>
      <c r="X31" s="330">
        <f t="shared" si="5"/>
        <v>4978890</v>
      </c>
      <c r="Y31" s="332"/>
      <c r="Z31" s="332"/>
      <c r="AA31" s="332"/>
    </row>
    <row r="32" spans="2:27" x14ac:dyDescent="0.15">
      <c r="B32" s="219" t="s">
        <v>55</v>
      </c>
      <c r="C32" s="299">
        <v>5146266</v>
      </c>
      <c r="D32" s="299">
        <v>7472741</v>
      </c>
      <c r="E32" s="323">
        <f t="shared" si="0"/>
        <v>145.20704914981076</v>
      </c>
      <c r="F32" s="299">
        <v>5757235</v>
      </c>
      <c r="G32" s="323">
        <f t="shared" si="1"/>
        <v>111.87208356505474</v>
      </c>
      <c r="H32" s="299">
        <v>1044100</v>
      </c>
      <c r="I32" s="323">
        <f t="shared" si="6"/>
        <v>20.288496552646134</v>
      </c>
      <c r="J32" s="299">
        <v>546849</v>
      </c>
      <c r="K32" s="323">
        <f t="shared" si="3"/>
        <v>10.626131645740815</v>
      </c>
      <c r="L32" s="323">
        <v>10.3</v>
      </c>
      <c r="M32" s="324">
        <v>14.8</v>
      </c>
      <c r="N32" s="332">
        <v>8.3000000000000007</v>
      </c>
      <c r="O32" s="325">
        <f t="shared" si="4"/>
        <v>9.4984658434126796</v>
      </c>
      <c r="P32" s="332"/>
      <c r="Q32" s="326" t="s">
        <v>26</v>
      </c>
      <c r="R32" s="326" t="s">
        <v>26</v>
      </c>
      <c r="S32" s="326"/>
      <c r="T32" s="326" t="s">
        <v>26</v>
      </c>
      <c r="U32" s="326" t="s">
        <v>26</v>
      </c>
      <c r="V32" s="326" t="s">
        <v>26</v>
      </c>
      <c r="W32" s="327"/>
      <c r="X32" s="330">
        <f t="shared" si="5"/>
        <v>5757235</v>
      </c>
      <c r="Y32" s="332"/>
      <c r="Z32" s="332"/>
      <c r="AA32" s="332"/>
    </row>
    <row r="33" spans="2:27" x14ac:dyDescent="0.15">
      <c r="B33" s="219" t="s">
        <v>56</v>
      </c>
      <c r="C33" s="299">
        <v>4604539</v>
      </c>
      <c r="D33" s="299">
        <v>6670382</v>
      </c>
      <c r="E33" s="323">
        <f t="shared" si="0"/>
        <v>144.8653600284415</v>
      </c>
      <c r="F33" s="299">
        <v>6057592</v>
      </c>
      <c r="G33" s="323">
        <f t="shared" si="1"/>
        <v>131.55697019831953</v>
      </c>
      <c r="H33" s="299">
        <v>612800</v>
      </c>
      <c r="I33" s="323">
        <f t="shared" si="6"/>
        <v>13.30860700712927</v>
      </c>
      <c r="J33" s="299">
        <v>624222</v>
      </c>
      <c r="K33" s="323">
        <f t="shared" si="3"/>
        <v>13.556666584863327</v>
      </c>
      <c r="L33" s="323">
        <v>12.3</v>
      </c>
      <c r="M33" s="324">
        <v>14.4</v>
      </c>
      <c r="N33" s="332">
        <v>8.8000000000000007</v>
      </c>
      <c r="O33" s="325">
        <f t="shared" si="4"/>
        <v>10.304787777057287</v>
      </c>
      <c r="P33" s="332"/>
      <c r="Q33" s="326" t="s">
        <v>26</v>
      </c>
      <c r="R33" s="326" t="s">
        <v>26</v>
      </c>
      <c r="S33" s="326"/>
      <c r="T33" s="326" t="s">
        <v>26</v>
      </c>
      <c r="U33" s="326" t="s">
        <v>26</v>
      </c>
      <c r="V33" s="326" t="s">
        <v>26</v>
      </c>
      <c r="W33" s="327"/>
      <c r="X33" s="330">
        <f t="shared" si="5"/>
        <v>6057592</v>
      </c>
      <c r="Y33" s="332"/>
      <c r="Z33" s="332"/>
      <c r="AA33" s="332"/>
    </row>
    <row r="34" spans="2:27" x14ac:dyDescent="0.15">
      <c r="B34" s="219" t="s">
        <v>57</v>
      </c>
      <c r="C34" s="333">
        <v>4874621</v>
      </c>
      <c r="D34" s="333">
        <v>7475296</v>
      </c>
      <c r="E34" s="323">
        <f t="shared" si="0"/>
        <v>153.35132721087444</v>
      </c>
      <c r="F34" s="333">
        <v>6448947</v>
      </c>
      <c r="G34" s="323">
        <f t="shared" si="1"/>
        <v>132.29637750298946</v>
      </c>
      <c r="H34" s="333">
        <v>891700</v>
      </c>
      <c r="I34" s="323">
        <f t="shared" si="6"/>
        <v>18.292704191772039</v>
      </c>
      <c r="J34" s="333">
        <v>833494</v>
      </c>
      <c r="K34" s="323">
        <f t="shared" si="3"/>
        <v>17.098642130331772</v>
      </c>
      <c r="L34" s="324">
        <v>12.8</v>
      </c>
      <c r="M34" s="324">
        <v>15.1</v>
      </c>
      <c r="N34" s="324">
        <v>8.6999999999999904</v>
      </c>
      <c r="O34" s="325">
        <f t="shared" si="4"/>
        <v>12.924497596274245</v>
      </c>
      <c r="P34" s="324"/>
      <c r="Q34" s="326" t="s">
        <v>26</v>
      </c>
      <c r="R34" s="326" t="s">
        <v>26</v>
      </c>
      <c r="S34" s="326"/>
      <c r="T34" s="326" t="s">
        <v>26</v>
      </c>
      <c r="U34" s="326" t="s">
        <v>26</v>
      </c>
      <c r="V34" s="326" t="s">
        <v>26</v>
      </c>
      <c r="W34" s="327"/>
      <c r="X34" s="330">
        <f t="shared" si="5"/>
        <v>6448947</v>
      </c>
      <c r="Y34" s="324"/>
      <c r="Z34" s="324"/>
      <c r="AA34" s="324"/>
    </row>
    <row r="35" spans="2:27" x14ac:dyDescent="0.15">
      <c r="B35" s="219" t="s">
        <v>58</v>
      </c>
      <c r="C35" s="299">
        <v>5310731</v>
      </c>
      <c r="D35" s="299">
        <v>8731441</v>
      </c>
      <c r="E35" s="323">
        <f t="shared" si="0"/>
        <v>164.41128349374125</v>
      </c>
      <c r="F35" s="299">
        <v>7328298</v>
      </c>
      <c r="G35" s="323">
        <f t="shared" si="1"/>
        <v>137.99038211500451</v>
      </c>
      <c r="H35" s="299">
        <v>1436100</v>
      </c>
      <c r="I35" s="323">
        <f t="shared" si="6"/>
        <v>27.041475081302369</v>
      </c>
      <c r="J35" s="299">
        <v>899274</v>
      </c>
      <c r="K35" s="323">
        <f t="shared" si="3"/>
        <v>16.933149127681293</v>
      </c>
      <c r="L35" s="323">
        <v>13.2</v>
      </c>
      <c r="M35" s="323">
        <v>17.600000000000001</v>
      </c>
      <c r="N35" s="332">
        <v>8.8000000000000007</v>
      </c>
      <c r="O35" s="325">
        <f t="shared" si="4"/>
        <v>12.27125316137526</v>
      </c>
      <c r="P35" s="332"/>
      <c r="Q35" s="326" t="s">
        <v>26</v>
      </c>
      <c r="R35" s="326" t="s">
        <v>26</v>
      </c>
      <c r="S35" s="326"/>
      <c r="T35" s="326" t="s">
        <v>26</v>
      </c>
      <c r="U35" s="326" t="s">
        <v>26</v>
      </c>
      <c r="V35" s="326" t="s">
        <v>26</v>
      </c>
      <c r="W35" s="327"/>
      <c r="X35" s="330">
        <f t="shared" si="5"/>
        <v>7328298</v>
      </c>
      <c r="Y35" s="332"/>
      <c r="Z35" s="332"/>
      <c r="AA35" s="332"/>
    </row>
    <row r="36" spans="2:27" x14ac:dyDescent="0.15">
      <c r="B36" s="219" t="s">
        <v>59</v>
      </c>
      <c r="C36" s="299">
        <v>5572381</v>
      </c>
      <c r="D36" s="299">
        <v>9625637</v>
      </c>
      <c r="E36" s="323">
        <f t="shared" si="0"/>
        <v>172.73831419639109</v>
      </c>
      <c r="F36" s="299">
        <v>8417525</v>
      </c>
      <c r="G36" s="323">
        <f t="shared" si="1"/>
        <v>151.05795888687439</v>
      </c>
      <c r="H36" s="299">
        <v>1712200</v>
      </c>
      <c r="I36" s="323">
        <f t="shared" si="6"/>
        <v>30.72654220879728</v>
      </c>
      <c r="J36" s="299">
        <v>981268</v>
      </c>
      <c r="K36" s="323">
        <f t="shared" si="3"/>
        <v>17.609492243979727</v>
      </c>
      <c r="L36" s="323">
        <v>14.8</v>
      </c>
      <c r="M36" s="323">
        <v>17.3</v>
      </c>
      <c r="N36" s="332">
        <v>9.3000000000000007</v>
      </c>
      <c r="O36" s="325">
        <f t="shared" si="4"/>
        <v>11.657440874841477</v>
      </c>
      <c r="P36" s="332"/>
      <c r="Q36" s="326" t="s">
        <v>26</v>
      </c>
      <c r="R36" s="326" t="s">
        <v>26</v>
      </c>
      <c r="S36" s="326"/>
      <c r="T36" s="326" t="s">
        <v>26</v>
      </c>
      <c r="U36" s="326" t="s">
        <v>26</v>
      </c>
      <c r="V36" s="326" t="s">
        <v>26</v>
      </c>
      <c r="W36" s="327"/>
      <c r="X36" s="330">
        <f t="shared" si="5"/>
        <v>8417525</v>
      </c>
      <c r="Y36" s="332"/>
      <c r="Z36" s="332"/>
      <c r="AA36" s="332"/>
    </row>
    <row r="37" spans="2:27" x14ac:dyDescent="0.15">
      <c r="B37" s="219" t="s">
        <v>60</v>
      </c>
      <c r="C37" s="299">
        <v>5624694</v>
      </c>
      <c r="D37" s="299">
        <v>8385558</v>
      </c>
      <c r="E37" s="323">
        <f t="shared" si="0"/>
        <v>149.08469687417661</v>
      </c>
      <c r="F37" s="299">
        <v>8521052</v>
      </c>
      <c r="G37" s="323">
        <f t="shared" si="1"/>
        <v>151.49361014128058</v>
      </c>
      <c r="H37" s="299">
        <v>871200</v>
      </c>
      <c r="I37" s="323">
        <f t="shared" si="6"/>
        <v>15.488842593037061</v>
      </c>
      <c r="J37" s="299">
        <v>1134448</v>
      </c>
      <c r="K37" s="323">
        <f t="shared" si="3"/>
        <v>20.169061641397736</v>
      </c>
      <c r="L37" s="323">
        <v>16.7</v>
      </c>
      <c r="M37" s="323">
        <v>19.600000000000001</v>
      </c>
      <c r="N37" s="332">
        <v>10.199999999999999</v>
      </c>
      <c r="O37" s="325">
        <f t="shared" si="4"/>
        <v>13.31347350068982</v>
      </c>
      <c r="P37" s="332"/>
      <c r="Q37" s="326" t="s">
        <v>26</v>
      </c>
      <c r="R37" s="326" t="s">
        <v>26</v>
      </c>
      <c r="S37" s="326"/>
      <c r="T37" s="326" t="s">
        <v>26</v>
      </c>
      <c r="U37" s="326" t="s">
        <v>26</v>
      </c>
      <c r="V37" s="326" t="s">
        <v>26</v>
      </c>
      <c r="W37" s="327"/>
      <c r="X37" s="330">
        <f t="shared" si="5"/>
        <v>8521052</v>
      </c>
      <c r="Y37" s="332"/>
      <c r="Z37" s="332"/>
      <c r="AA37" s="332"/>
    </row>
    <row r="38" spans="2:27" x14ac:dyDescent="0.15">
      <c r="B38" s="390" t="s">
        <v>62</v>
      </c>
      <c r="C38" s="374">
        <v>5817990</v>
      </c>
      <c r="D38" s="374">
        <v>9236009</v>
      </c>
      <c r="E38" s="391">
        <f t="shared" si="0"/>
        <v>158.74913844815822</v>
      </c>
      <c r="F38" s="374">
        <v>8548412</v>
      </c>
      <c r="G38" s="391">
        <f t="shared" si="1"/>
        <v>146.93067537070363</v>
      </c>
      <c r="H38" s="374">
        <v>865800</v>
      </c>
      <c r="I38" s="391">
        <f t="shared" si="6"/>
        <v>14.881428122083401</v>
      </c>
      <c r="J38" s="374">
        <v>1182707</v>
      </c>
      <c r="K38" s="391">
        <f t="shared" si="3"/>
        <v>20.328446765979315</v>
      </c>
      <c r="L38" s="391">
        <v>16</v>
      </c>
      <c r="M38" s="391">
        <v>17.3</v>
      </c>
      <c r="N38" s="392">
        <v>10.7</v>
      </c>
      <c r="O38" s="393">
        <f t="shared" si="4"/>
        <v>13.835400071966584</v>
      </c>
      <c r="P38" s="392"/>
      <c r="Q38" s="394" t="s">
        <v>26</v>
      </c>
      <c r="R38" s="394" t="s">
        <v>26</v>
      </c>
      <c r="S38" s="394"/>
      <c r="T38" s="394" t="s">
        <v>26</v>
      </c>
      <c r="U38" s="394" t="s">
        <v>26</v>
      </c>
      <c r="V38" s="394" t="s">
        <v>26</v>
      </c>
      <c r="W38" s="395"/>
      <c r="X38" s="396">
        <f t="shared" si="5"/>
        <v>8548412</v>
      </c>
      <c r="Y38" s="392"/>
      <c r="Z38" s="392"/>
      <c r="AA38" s="392"/>
    </row>
    <row r="39" spans="2:27" x14ac:dyDescent="0.15">
      <c r="B39" s="390" t="s">
        <v>63</v>
      </c>
      <c r="C39" s="374">
        <v>6056307</v>
      </c>
      <c r="D39" s="374">
        <v>9766517</v>
      </c>
      <c r="E39" s="391">
        <f t="shared" si="0"/>
        <v>161.26192083723629</v>
      </c>
      <c r="F39" s="374">
        <v>8555260</v>
      </c>
      <c r="G39" s="391">
        <f t="shared" si="1"/>
        <v>141.26199348877128</v>
      </c>
      <c r="H39" s="374">
        <v>673600</v>
      </c>
      <c r="I39" s="391">
        <f t="shared" si="6"/>
        <v>11.122289540474089</v>
      </c>
      <c r="J39" s="374">
        <v>984105</v>
      </c>
      <c r="K39" s="391">
        <f t="shared" si="3"/>
        <v>16.249258830505127</v>
      </c>
      <c r="L39" s="391">
        <v>14.8</v>
      </c>
      <c r="M39" s="391">
        <v>18.8</v>
      </c>
      <c r="N39" s="392">
        <v>10</v>
      </c>
      <c r="O39" s="393">
        <f t="shared" si="4"/>
        <v>11.502923347741623</v>
      </c>
      <c r="P39" s="392"/>
      <c r="Q39" s="394" t="s">
        <v>26</v>
      </c>
      <c r="R39" s="394" t="s">
        <v>26</v>
      </c>
      <c r="S39" s="394"/>
      <c r="T39" s="394" t="s">
        <v>26</v>
      </c>
      <c r="U39" s="394" t="s">
        <v>26</v>
      </c>
      <c r="V39" s="394" t="s">
        <v>26</v>
      </c>
      <c r="W39" s="395"/>
      <c r="X39" s="396">
        <f t="shared" si="5"/>
        <v>8555260</v>
      </c>
      <c r="Y39" s="392"/>
      <c r="Z39" s="392"/>
      <c r="AA39" s="392"/>
    </row>
    <row r="40" spans="2:27" x14ac:dyDescent="0.15">
      <c r="B40" s="390" t="s">
        <v>64</v>
      </c>
      <c r="C40" s="374">
        <v>5979201</v>
      </c>
      <c r="D40" s="374">
        <v>9396601</v>
      </c>
      <c r="E40" s="391">
        <f t="shared" si="0"/>
        <v>157.15479375923306</v>
      </c>
      <c r="F40" s="374">
        <v>8611360</v>
      </c>
      <c r="G40" s="391">
        <f t="shared" si="1"/>
        <v>144.02191864765879</v>
      </c>
      <c r="H40" s="374">
        <v>864700</v>
      </c>
      <c r="I40" s="391">
        <f t="shared" si="6"/>
        <v>14.461798491136191</v>
      </c>
      <c r="J40" s="374">
        <v>1108163</v>
      </c>
      <c r="K40" s="391">
        <f t="shared" si="3"/>
        <v>18.533630162290915</v>
      </c>
      <c r="L40" s="391">
        <v>15</v>
      </c>
      <c r="M40" s="391">
        <v>20.2</v>
      </c>
      <c r="N40" s="392">
        <v>8.9</v>
      </c>
      <c r="O40" s="393">
        <f t="shared" si="4"/>
        <v>12.868617732855206</v>
      </c>
      <c r="P40" s="392"/>
      <c r="Q40" s="394" t="s">
        <v>26</v>
      </c>
      <c r="R40" s="394" t="s">
        <v>26</v>
      </c>
      <c r="S40" s="394"/>
      <c r="T40" s="394" t="s">
        <v>26</v>
      </c>
      <c r="U40" s="394" t="s">
        <v>26</v>
      </c>
      <c r="V40" s="394" t="s">
        <v>26</v>
      </c>
      <c r="W40" s="395"/>
      <c r="X40" s="396">
        <f t="shared" si="5"/>
        <v>8611360</v>
      </c>
      <c r="Y40" s="392"/>
      <c r="Z40" s="392"/>
      <c r="AA40" s="392"/>
    </row>
    <row r="41" spans="2:27" x14ac:dyDescent="0.15">
      <c r="B41" s="390" t="s">
        <v>65</v>
      </c>
      <c r="C41" s="374">
        <v>6156451</v>
      </c>
      <c r="D41" s="374">
        <v>9707057</v>
      </c>
      <c r="E41" s="391">
        <f t="shared" si="0"/>
        <v>157.67293526741298</v>
      </c>
      <c r="F41" s="374">
        <v>9063336</v>
      </c>
      <c r="G41" s="391">
        <f t="shared" si="1"/>
        <v>147.21689492858792</v>
      </c>
      <c r="H41" s="374">
        <v>1263900</v>
      </c>
      <c r="I41" s="391">
        <f t="shared" si="6"/>
        <v>20.529685040943232</v>
      </c>
      <c r="J41" s="374">
        <v>1091121</v>
      </c>
      <c r="K41" s="391">
        <f t="shared" si="3"/>
        <v>17.723214234954522</v>
      </c>
      <c r="L41" s="391">
        <v>15.4</v>
      </c>
      <c r="M41" s="391">
        <v>24.9</v>
      </c>
      <c r="N41" s="392">
        <v>8.1</v>
      </c>
      <c r="O41" s="393">
        <f t="shared" si="4"/>
        <v>12.038845299346731</v>
      </c>
      <c r="P41" s="392"/>
      <c r="Q41" s="394" t="s">
        <v>26</v>
      </c>
      <c r="R41" s="394" t="s">
        <v>26</v>
      </c>
      <c r="S41" s="394"/>
      <c r="T41" s="394" t="s">
        <v>26</v>
      </c>
      <c r="U41" s="394" t="s">
        <v>26</v>
      </c>
      <c r="V41" s="394" t="s">
        <v>26</v>
      </c>
      <c r="W41" s="395"/>
      <c r="X41" s="396">
        <f t="shared" si="5"/>
        <v>9063336</v>
      </c>
      <c r="Y41" s="392"/>
      <c r="Z41" s="392"/>
      <c r="AA41" s="392"/>
    </row>
    <row r="42" spans="2:27" x14ac:dyDescent="0.15">
      <c r="B42" s="390" t="s">
        <v>66</v>
      </c>
      <c r="C42" s="374">
        <v>5957111</v>
      </c>
      <c r="D42" s="374">
        <v>8723036</v>
      </c>
      <c r="E42" s="391">
        <f t="shared" si="0"/>
        <v>146.4306439816213</v>
      </c>
      <c r="F42" s="374">
        <v>9270627</v>
      </c>
      <c r="G42" s="391">
        <f t="shared" si="1"/>
        <v>155.62286819903136</v>
      </c>
      <c r="H42" s="374">
        <v>1069800</v>
      </c>
      <c r="I42" s="391">
        <f t="shared" si="6"/>
        <v>17.958369417658997</v>
      </c>
      <c r="J42" s="374">
        <v>1126090</v>
      </c>
      <c r="K42" s="391">
        <f t="shared" si="3"/>
        <v>18.903290537980574</v>
      </c>
      <c r="L42" s="391">
        <v>16</v>
      </c>
      <c r="M42" s="391">
        <v>21.2</v>
      </c>
      <c r="N42" s="392">
        <v>8.1999999999999993</v>
      </c>
      <c r="O42" s="393">
        <f t="shared" si="4"/>
        <v>12.146859106724929</v>
      </c>
      <c r="P42" s="392"/>
      <c r="Q42" s="394" t="s">
        <v>26</v>
      </c>
      <c r="R42" s="394" t="s">
        <v>26</v>
      </c>
      <c r="S42" s="394"/>
      <c r="T42" s="394" t="s">
        <v>26</v>
      </c>
      <c r="U42" s="394" t="s">
        <v>26</v>
      </c>
      <c r="V42" s="394" t="s">
        <v>26</v>
      </c>
      <c r="W42" s="395"/>
      <c r="X42" s="396">
        <f t="shared" si="5"/>
        <v>9270627</v>
      </c>
      <c r="Y42" s="392"/>
      <c r="Z42" s="392"/>
      <c r="AA42" s="392"/>
    </row>
    <row r="43" spans="2:27" x14ac:dyDescent="0.15">
      <c r="B43" s="390" t="s">
        <v>323</v>
      </c>
      <c r="C43" s="374">
        <v>5384428</v>
      </c>
      <c r="D43" s="374">
        <v>8956615</v>
      </c>
      <c r="E43" s="391">
        <f t="shared" si="0"/>
        <v>166.34292444805652</v>
      </c>
      <c r="F43" s="374">
        <v>9380220</v>
      </c>
      <c r="G43" s="391">
        <f t="shared" si="1"/>
        <v>174.21014822744402</v>
      </c>
      <c r="H43" s="374">
        <v>975300</v>
      </c>
      <c r="I43" s="391">
        <f t="shared" si="6"/>
        <v>18.113344630107413</v>
      </c>
      <c r="J43" s="374">
        <v>1108988</v>
      </c>
      <c r="K43" s="391">
        <f t="shared" si="3"/>
        <v>20.596208176615974</v>
      </c>
      <c r="L43" s="391">
        <v>16.5</v>
      </c>
      <c r="M43" s="391">
        <v>23</v>
      </c>
      <c r="N43" s="392">
        <v>8.8000000000000007</v>
      </c>
      <c r="O43" s="393">
        <f t="shared" si="4"/>
        <v>11.822622497126932</v>
      </c>
      <c r="P43" s="392"/>
      <c r="Q43" s="397">
        <v>19.2</v>
      </c>
      <c r="R43" s="394" t="s">
        <v>26</v>
      </c>
      <c r="S43" s="394"/>
      <c r="T43" s="394" t="s">
        <v>26</v>
      </c>
      <c r="U43" s="394" t="s">
        <v>26</v>
      </c>
      <c r="V43" s="394" t="s">
        <v>26</v>
      </c>
      <c r="W43" s="395"/>
      <c r="X43" s="396">
        <f t="shared" si="5"/>
        <v>9380220</v>
      </c>
      <c r="Y43" s="392"/>
      <c r="Z43" s="392"/>
      <c r="AA43" s="392"/>
    </row>
    <row r="44" spans="2:27" x14ac:dyDescent="0.15">
      <c r="B44" s="390" t="s">
        <v>68</v>
      </c>
      <c r="C44" s="417">
        <v>5433888</v>
      </c>
      <c r="D44" s="417">
        <v>9041642</v>
      </c>
      <c r="E44" s="391">
        <f t="shared" si="0"/>
        <v>166.39360251812329</v>
      </c>
      <c r="F44" s="417">
        <v>9501859</v>
      </c>
      <c r="G44" s="391">
        <f t="shared" si="1"/>
        <v>174.86298944696688</v>
      </c>
      <c r="H44" s="417">
        <v>941900</v>
      </c>
      <c r="I44" s="391">
        <f t="shared" si="6"/>
        <v>17.333813284337108</v>
      </c>
      <c r="J44" s="417">
        <v>1044516</v>
      </c>
      <c r="K44" s="391">
        <f t="shared" si="3"/>
        <v>19.222258537533346</v>
      </c>
      <c r="L44" s="397">
        <v>16</v>
      </c>
      <c r="M44" s="397">
        <v>22</v>
      </c>
      <c r="N44" s="398">
        <v>9.4</v>
      </c>
      <c r="O44" s="393">
        <f t="shared" si="4"/>
        <v>10.992754154739615</v>
      </c>
      <c r="P44" s="398"/>
      <c r="Q44" s="397">
        <v>21.3</v>
      </c>
      <c r="R44" s="394" t="s">
        <v>26</v>
      </c>
      <c r="S44" s="394"/>
      <c r="T44" s="394" t="s">
        <v>26</v>
      </c>
      <c r="U44" s="394" t="s">
        <v>26</v>
      </c>
      <c r="V44" s="394" t="s">
        <v>26</v>
      </c>
      <c r="W44" s="395"/>
      <c r="X44" s="396">
        <f t="shared" si="5"/>
        <v>9501859</v>
      </c>
      <c r="Y44" s="398"/>
      <c r="Z44" s="398"/>
      <c r="AA44" s="398"/>
    </row>
    <row r="45" spans="2:27" x14ac:dyDescent="0.15">
      <c r="B45" s="390" t="s">
        <v>69</v>
      </c>
      <c r="C45" s="417">
        <v>5583173</v>
      </c>
      <c r="D45" s="417">
        <v>8268476</v>
      </c>
      <c r="E45" s="391">
        <f t="shared" si="0"/>
        <v>148.09636025965881</v>
      </c>
      <c r="F45" s="417">
        <v>8987913</v>
      </c>
      <c r="G45" s="391">
        <f t="shared" si="1"/>
        <v>160.98216909990072</v>
      </c>
      <c r="H45" s="417">
        <v>651400</v>
      </c>
      <c r="I45" s="391">
        <f t="shared" si="6"/>
        <v>11.667200711853278</v>
      </c>
      <c r="J45" s="417">
        <v>1170564</v>
      </c>
      <c r="K45" s="391">
        <f>J45/C45*100</f>
        <v>20.965927439468558</v>
      </c>
      <c r="L45" s="397">
        <v>14.7</v>
      </c>
      <c r="M45" s="397">
        <v>19.899999999999999</v>
      </c>
      <c r="N45" s="398">
        <v>10.6</v>
      </c>
      <c r="O45" s="393">
        <f t="shared" si="4"/>
        <v>13.023757573087321</v>
      </c>
      <c r="P45" s="398"/>
      <c r="Q45" s="397">
        <v>18.8</v>
      </c>
      <c r="R45" s="391">
        <f>ROUNDDOWN(AVERAGE(Q43:Q45),1)</f>
        <v>19.7</v>
      </c>
      <c r="S45" s="391"/>
      <c r="T45" s="394" t="s">
        <v>26</v>
      </c>
      <c r="U45" s="394" t="s">
        <v>26</v>
      </c>
      <c r="V45" s="394" t="s">
        <v>26</v>
      </c>
      <c r="W45" s="395"/>
      <c r="X45" s="396">
        <f t="shared" si="5"/>
        <v>8987913</v>
      </c>
      <c r="Y45" s="398"/>
      <c r="Z45" s="398"/>
      <c r="AA45" s="398"/>
    </row>
    <row r="46" spans="2:27" x14ac:dyDescent="0.15">
      <c r="B46" s="390" t="s">
        <v>70</v>
      </c>
      <c r="C46" s="417">
        <v>5613320</v>
      </c>
      <c r="D46" s="417">
        <v>8424535</v>
      </c>
      <c r="E46" s="391">
        <f t="shared" si="0"/>
        <v>150.08114627350659</v>
      </c>
      <c r="F46" s="417">
        <v>8764410</v>
      </c>
      <c r="G46" s="391">
        <f t="shared" si="1"/>
        <v>156.1359409404773</v>
      </c>
      <c r="H46" s="417">
        <v>545200</v>
      </c>
      <c r="I46" s="391">
        <f t="shared" si="6"/>
        <v>9.7126121439718389</v>
      </c>
      <c r="J46" s="417">
        <v>953071</v>
      </c>
      <c r="K46" s="391">
        <f t="shared" si="3"/>
        <v>16.978739854488968</v>
      </c>
      <c r="L46" s="397">
        <v>13.4</v>
      </c>
      <c r="M46" s="399">
        <v>18.5</v>
      </c>
      <c r="N46" s="397">
        <v>9</v>
      </c>
      <c r="O46" s="393">
        <f t="shared" si="4"/>
        <v>10.874331529446932</v>
      </c>
      <c r="P46" s="397"/>
      <c r="Q46" s="400">
        <v>17.5</v>
      </c>
      <c r="R46" s="391">
        <f>ROUNDDOWN(AVERAGE(Q44:Q46),1)</f>
        <v>19.2</v>
      </c>
      <c r="S46" s="391"/>
      <c r="T46" s="394" t="s">
        <v>26</v>
      </c>
      <c r="U46" s="394" t="s">
        <v>26</v>
      </c>
      <c r="V46" s="394" t="s">
        <v>26</v>
      </c>
      <c r="W46" s="395"/>
      <c r="X46" s="396">
        <f t="shared" si="5"/>
        <v>8764410</v>
      </c>
      <c r="Y46" s="397"/>
      <c r="Z46" s="397"/>
      <c r="AA46" s="397"/>
    </row>
    <row r="47" spans="2:27" x14ac:dyDescent="0.15">
      <c r="B47" s="390" t="s">
        <v>71</v>
      </c>
      <c r="C47" s="417">
        <v>5645831</v>
      </c>
      <c r="D47" s="417">
        <v>9015152</v>
      </c>
      <c r="E47" s="391">
        <f t="shared" si="0"/>
        <v>159.67803499608826</v>
      </c>
      <c r="F47" s="417">
        <v>8704395</v>
      </c>
      <c r="G47" s="391">
        <f t="shared" si="1"/>
        <v>154.17384969546555</v>
      </c>
      <c r="H47" s="417">
        <v>727000</v>
      </c>
      <c r="I47" s="391">
        <f t="shared" si="6"/>
        <v>12.876758089287478</v>
      </c>
      <c r="J47" s="417">
        <v>958131</v>
      </c>
      <c r="K47" s="391">
        <f t="shared" si="3"/>
        <v>16.970592991536588</v>
      </c>
      <c r="L47" s="397">
        <v>12.8</v>
      </c>
      <c r="M47" s="399">
        <v>17.8</v>
      </c>
      <c r="N47" s="397">
        <v>8.8000000000000007</v>
      </c>
      <c r="O47" s="393">
        <f t="shared" si="4"/>
        <v>11.007439345296255</v>
      </c>
      <c r="P47" s="397"/>
      <c r="Q47" s="397">
        <v>18.399999999999999</v>
      </c>
      <c r="R47" s="391">
        <f>ROUNDDOWN(AVERAGE(Q45:Q47),1)</f>
        <v>18.2</v>
      </c>
      <c r="S47" s="391"/>
      <c r="T47" s="394" t="s">
        <v>26</v>
      </c>
      <c r="U47" s="394" t="s">
        <v>26</v>
      </c>
      <c r="V47" s="393">
        <v>122</v>
      </c>
      <c r="W47" s="401"/>
      <c r="X47" s="396">
        <f t="shared" si="5"/>
        <v>8704395</v>
      </c>
      <c r="Y47" s="397"/>
      <c r="Z47" s="397"/>
      <c r="AA47" s="397"/>
    </row>
    <row r="48" spans="2:27" x14ac:dyDescent="0.15">
      <c r="B48" s="390" t="s">
        <v>131</v>
      </c>
      <c r="C48" s="417">
        <v>6020841</v>
      </c>
      <c r="D48" s="417">
        <v>8346409</v>
      </c>
      <c r="E48" s="391">
        <f t="shared" si="0"/>
        <v>138.62530168127677</v>
      </c>
      <c r="F48" s="417">
        <v>8273707</v>
      </c>
      <c r="G48" s="391">
        <f t="shared" si="1"/>
        <v>137.41779595242591</v>
      </c>
      <c r="H48" s="417">
        <v>361700</v>
      </c>
      <c r="I48" s="391">
        <f t="shared" si="6"/>
        <v>6.0074663987971118</v>
      </c>
      <c r="J48" s="417">
        <v>933717</v>
      </c>
      <c r="K48" s="391">
        <f t="shared" si="3"/>
        <v>15.508082674828982</v>
      </c>
      <c r="L48" s="397">
        <v>11.6</v>
      </c>
      <c r="M48" s="399">
        <v>16.3</v>
      </c>
      <c r="N48" s="397">
        <v>8.6999999999999993</v>
      </c>
      <c r="O48" s="393">
        <f t="shared" si="4"/>
        <v>11.285352502814035</v>
      </c>
      <c r="P48" s="397"/>
      <c r="Q48" s="397">
        <v>16.100000000000001</v>
      </c>
      <c r="R48" s="391">
        <f>ROUNDDOWN(AVERAGE(Q46:Q48),1)</f>
        <v>17.3</v>
      </c>
      <c r="S48" s="391"/>
      <c r="T48" s="394" t="s">
        <v>26</v>
      </c>
      <c r="U48" s="394" t="s">
        <v>26</v>
      </c>
      <c r="V48" s="393">
        <v>112.4</v>
      </c>
      <c r="W48" s="401"/>
      <c r="X48" s="396">
        <f t="shared" si="5"/>
        <v>8273707</v>
      </c>
      <c r="Y48" s="397"/>
      <c r="Z48" s="397"/>
      <c r="AA48" s="397"/>
    </row>
    <row r="49" spans="2:27" x14ac:dyDescent="0.15">
      <c r="B49" s="390" t="s">
        <v>132</v>
      </c>
      <c r="C49" s="417">
        <v>6078848</v>
      </c>
      <c r="D49" s="417">
        <v>8401050</v>
      </c>
      <c r="E49" s="391">
        <f t="shared" si="0"/>
        <v>138.20134999263018</v>
      </c>
      <c r="F49" s="417">
        <v>8109818</v>
      </c>
      <c r="G49" s="391">
        <f t="shared" si="1"/>
        <v>133.41044224168789</v>
      </c>
      <c r="H49" s="417">
        <v>622100</v>
      </c>
      <c r="I49" s="391">
        <f t="shared" si="6"/>
        <v>10.233846939420101</v>
      </c>
      <c r="J49" s="417">
        <v>925438</v>
      </c>
      <c r="K49" s="391">
        <f t="shared" si="3"/>
        <v>15.223904266071466</v>
      </c>
      <c r="L49" s="397">
        <v>10.9</v>
      </c>
      <c r="M49" s="397">
        <v>15.3</v>
      </c>
      <c r="N49" s="397">
        <v>8.6</v>
      </c>
      <c r="O49" s="393">
        <f t="shared" si="4"/>
        <v>11.411328836232823</v>
      </c>
      <c r="P49" s="397"/>
      <c r="Q49" s="397">
        <v>14.8</v>
      </c>
      <c r="R49" s="391">
        <f>ROUNDDOWN(AVERAGE(Q47:Q49),1)</f>
        <v>16.399999999999999</v>
      </c>
      <c r="S49" s="391"/>
      <c r="T49" s="394" t="s">
        <v>26</v>
      </c>
      <c r="U49" s="394" t="s">
        <v>26</v>
      </c>
      <c r="V49" s="402">
        <v>100.7</v>
      </c>
      <c r="W49" s="403"/>
      <c r="X49" s="396">
        <f t="shared" si="5"/>
        <v>8109818</v>
      </c>
      <c r="Y49" s="397"/>
      <c r="Z49" s="397"/>
      <c r="AA49" s="397"/>
    </row>
    <row r="50" spans="2:27" x14ac:dyDescent="0.15">
      <c r="B50" s="390" t="s">
        <v>161</v>
      </c>
      <c r="C50" s="417">
        <v>6201829</v>
      </c>
      <c r="D50" s="417">
        <v>9620380</v>
      </c>
      <c r="E50" s="391">
        <f t="shared" si="0"/>
        <v>155.12165846559137</v>
      </c>
      <c r="F50" s="417">
        <v>8136065</v>
      </c>
      <c r="G50" s="391">
        <f t="shared" si="1"/>
        <v>131.18815433318139</v>
      </c>
      <c r="H50" s="417">
        <v>857500</v>
      </c>
      <c r="I50" s="391">
        <f t="shared" si="6"/>
        <v>13.826566324224675</v>
      </c>
      <c r="J50" s="417">
        <v>958436</v>
      </c>
      <c r="K50" s="391">
        <f t="shared" si="3"/>
        <v>15.454086205859593</v>
      </c>
      <c r="L50" s="397">
        <v>10.3</v>
      </c>
      <c r="M50" s="397">
        <v>14.2</v>
      </c>
      <c r="N50" s="394" t="s">
        <v>26</v>
      </c>
      <c r="O50" s="393">
        <f t="shared" si="4"/>
        <v>11.780092710665414</v>
      </c>
      <c r="P50" s="394"/>
      <c r="Q50" s="397">
        <v>15.1</v>
      </c>
      <c r="R50" s="391">
        <v>15.4</v>
      </c>
      <c r="S50" s="391"/>
      <c r="T50" s="394" t="s">
        <v>26</v>
      </c>
      <c r="U50" s="394" t="s">
        <v>26</v>
      </c>
      <c r="V50" s="402">
        <v>88.7</v>
      </c>
      <c r="W50" s="403"/>
      <c r="X50" s="396">
        <f t="shared" si="5"/>
        <v>8136065</v>
      </c>
      <c r="Y50" s="394"/>
      <c r="Z50" s="394"/>
      <c r="AA50" s="394"/>
    </row>
    <row r="51" spans="2:27" x14ac:dyDescent="0.15">
      <c r="B51" s="390" t="s">
        <v>134</v>
      </c>
      <c r="C51" s="417">
        <v>6121219</v>
      </c>
      <c r="D51" s="417">
        <v>8821625</v>
      </c>
      <c r="E51" s="391">
        <f>D51/C51*100</f>
        <v>144.11549398902409</v>
      </c>
      <c r="F51" s="417">
        <v>7862992</v>
      </c>
      <c r="G51" s="391">
        <f>F51/C51*100</f>
        <v>128.45467544944887</v>
      </c>
      <c r="H51" s="417">
        <v>663100</v>
      </c>
      <c r="I51" s="391">
        <f>H51/C51*100</f>
        <v>10.832809608674349</v>
      </c>
      <c r="J51" s="417">
        <v>1060209</v>
      </c>
      <c r="K51" s="391">
        <f>J51/C51*100</f>
        <v>17.320226575784986</v>
      </c>
      <c r="L51" s="397">
        <v>10</v>
      </c>
      <c r="M51" s="397">
        <v>13.6</v>
      </c>
      <c r="N51" s="394" t="s">
        <v>26</v>
      </c>
      <c r="O51" s="393">
        <f>J51/F51*100</f>
        <v>13.483531459780195</v>
      </c>
      <c r="P51" s="394"/>
      <c r="Q51" s="397">
        <v>16.2</v>
      </c>
      <c r="R51" s="391">
        <v>15.3</v>
      </c>
      <c r="S51" s="391"/>
      <c r="T51" s="394" t="s">
        <v>26</v>
      </c>
      <c r="U51" s="394" t="s">
        <v>26</v>
      </c>
      <c r="V51" s="402">
        <v>83</v>
      </c>
      <c r="W51" s="403"/>
      <c r="X51" s="396">
        <f t="shared" si="5"/>
        <v>7862992</v>
      </c>
      <c r="Y51" s="394"/>
      <c r="Z51" s="394"/>
      <c r="AA51" s="394"/>
    </row>
    <row r="52" spans="2:27" x14ac:dyDescent="0.15">
      <c r="B52" s="390" t="s">
        <v>135</v>
      </c>
      <c r="C52" s="417">
        <v>6202676</v>
      </c>
      <c r="D52" s="417">
        <v>8734459</v>
      </c>
      <c r="E52" s="391">
        <f t="shared" si="0"/>
        <v>140.8175922779136</v>
      </c>
      <c r="F52" s="417">
        <v>8130850</v>
      </c>
      <c r="G52" s="391">
        <f t="shared" si="1"/>
        <v>131.08616345590193</v>
      </c>
      <c r="H52" s="417">
        <v>996700</v>
      </c>
      <c r="I52" s="391">
        <f t="shared" si="6"/>
        <v>16.068870919583741</v>
      </c>
      <c r="J52" s="417">
        <v>842517</v>
      </c>
      <c r="K52" s="391">
        <f t="shared" si="3"/>
        <v>13.583121220582859</v>
      </c>
      <c r="L52" s="397">
        <v>8.4</v>
      </c>
      <c r="M52" s="397">
        <v>11.9</v>
      </c>
      <c r="N52" s="394" t="s">
        <v>26</v>
      </c>
      <c r="O52" s="393">
        <f t="shared" si="4"/>
        <v>10.361979374850108</v>
      </c>
      <c r="P52" s="394">
        <v>567342</v>
      </c>
      <c r="Q52" s="397">
        <v>15</v>
      </c>
      <c r="R52" s="391">
        <f>ROUNDDOWN(AVERAGE(Q50:Q52),1)</f>
        <v>15.4</v>
      </c>
      <c r="S52" s="391"/>
      <c r="T52" s="394" t="s">
        <v>26</v>
      </c>
      <c r="U52" s="394" t="s">
        <v>26</v>
      </c>
      <c r="V52" s="402">
        <v>98.9</v>
      </c>
      <c r="W52" s="403"/>
      <c r="X52" s="396">
        <f t="shared" si="5"/>
        <v>8130850</v>
      </c>
      <c r="Y52" s="394"/>
      <c r="Z52" s="394"/>
      <c r="AA52" s="394"/>
    </row>
    <row r="53" spans="2:27" s="334" customFormat="1" x14ac:dyDescent="0.15">
      <c r="B53" s="390" t="s">
        <v>324</v>
      </c>
      <c r="C53" s="417">
        <v>6347475</v>
      </c>
      <c r="D53" s="417">
        <v>8541185</v>
      </c>
      <c r="E53" s="391">
        <f>D53/C53*100</f>
        <v>134.56035667726144</v>
      </c>
      <c r="F53" s="417">
        <v>8344807</v>
      </c>
      <c r="G53" s="391">
        <f>F53/C53*100</f>
        <v>131.46655953745386</v>
      </c>
      <c r="H53" s="417">
        <v>923200</v>
      </c>
      <c r="I53" s="391">
        <f>H53/C53*100</f>
        <v>14.544366066821846</v>
      </c>
      <c r="J53" s="417">
        <v>815883</v>
      </c>
      <c r="K53" s="391">
        <f>J53/C53*100</f>
        <v>12.853662283033804</v>
      </c>
      <c r="L53" s="397">
        <v>7.5</v>
      </c>
      <c r="M53" s="397">
        <v>9.9</v>
      </c>
      <c r="N53" s="394" t="s">
        <v>26</v>
      </c>
      <c r="O53" s="393">
        <f>J53/F53*100</f>
        <v>9.7771344502035813</v>
      </c>
      <c r="P53" s="394">
        <v>586676</v>
      </c>
      <c r="Q53" s="397">
        <v>11.7</v>
      </c>
      <c r="R53" s="391">
        <f>ROUNDDOWN(AVERAGE(Q51:Q53),1)</f>
        <v>14.3</v>
      </c>
      <c r="S53" s="391"/>
      <c r="T53" s="394" t="s">
        <v>26</v>
      </c>
      <c r="U53" s="394" t="s">
        <v>26</v>
      </c>
      <c r="V53" s="402">
        <v>100.7</v>
      </c>
      <c r="W53" s="403"/>
      <c r="X53" s="404">
        <f t="shared" si="5"/>
        <v>8344807</v>
      </c>
      <c r="Y53" s="405">
        <v>9648158</v>
      </c>
      <c r="Z53" s="405">
        <v>2232616</v>
      </c>
      <c r="AA53" s="405">
        <v>13725840</v>
      </c>
    </row>
    <row r="54" spans="2:27" x14ac:dyDescent="0.15">
      <c r="B54" s="390" t="s">
        <v>137</v>
      </c>
      <c r="C54" s="417">
        <v>6261771</v>
      </c>
      <c r="D54" s="417">
        <f>目的別内訳!Q54</f>
        <v>9751302</v>
      </c>
      <c r="E54" s="391">
        <f t="shared" ref="E54:E56" si="7">D54/C54*100</f>
        <v>155.72754097842287</v>
      </c>
      <c r="F54" s="417">
        <v>9138065</v>
      </c>
      <c r="G54" s="391">
        <f t="shared" ref="G54:G56" si="8">F54/C54*100</f>
        <v>145.93419337756043</v>
      </c>
      <c r="H54" s="417">
        <v>1515800</v>
      </c>
      <c r="I54" s="391">
        <f>H54/C54*100</f>
        <v>24.207209110649366</v>
      </c>
      <c r="J54" s="417">
        <v>821806</v>
      </c>
      <c r="K54" s="391">
        <f t="shared" ref="K54:K56" si="9">J54/C54*100</f>
        <v>13.12417844727953</v>
      </c>
      <c r="L54" s="394" t="s">
        <v>26</v>
      </c>
      <c r="M54" s="394" t="s">
        <v>26</v>
      </c>
      <c r="N54" s="394" t="s">
        <v>26</v>
      </c>
      <c r="O54" s="393">
        <f t="shared" ref="O54:O61" si="10">J54/F54*100</f>
        <v>8.9932168352928112</v>
      </c>
      <c r="P54" s="394">
        <v>561430</v>
      </c>
      <c r="Q54" s="397">
        <v>9.6802544062937876</v>
      </c>
      <c r="R54" s="391">
        <v>12.1</v>
      </c>
      <c r="S54" s="391"/>
      <c r="T54" s="394" t="s">
        <v>26</v>
      </c>
      <c r="U54" s="394" t="s">
        <v>26</v>
      </c>
      <c r="V54" s="402">
        <v>95.7</v>
      </c>
      <c r="W54" s="403"/>
      <c r="X54" s="396">
        <f t="shared" si="5"/>
        <v>9138065</v>
      </c>
      <c r="Y54" s="394">
        <v>8515979</v>
      </c>
      <c r="Z54" s="394">
        <v>2445284</v>
      </c>
      <c r="AA54" s="394">
        <v>13293992</v>
      </c>
    </row>
    <row r="55" spans="2:27" x14ac:dyDescent="0.15">
      <c r="B55" s="390" t="s">
        <v>138</v>
      </c>
      <c r="C55" s="417">
        <v>6471584</v>
      </c>
      <c r="D55" s="417">
        <f>目的別内訳!Q55</f>
        <v>8824796</v>
      </c>
      <c r="E55" s="391">
        <f t="shared" si="7"/>
        <v>136.36222600216576</v>
      </c>
      <c r="F55" s="417">
        <v>9143969</v>
      </c>
      <c r="G55" s="391">
        <f t="shared" si="8"/>
        <v>141.29414066169889</v>
      </c>
      <c r="H55" s="417">
        <v>780400</v>
      </c>
      <c r="I55" s="391">
        <f t="shared" ref="I55:I56" si="11">H55/C55*100</f>
        <v>12.058871522026138</v>
      </c>
      <c r="J55" s="417">
        <v>864365</v>
      </c>
      <c r="K55" s="391">
        <f t="shared" si="9"/>
        <v>13.356312766704411</v>
      </c>
      <c r="L55" s="394" t="s">
        <v>26</v>
      </c>
      <c r="M55" s="394" t="s">
        <v>26</v>
      </c>
      <c r="N55" s="394" t="s">
        <v>26</v>
      </c>
      <c r="O55" s="393">
        <f t="shared" si="10"/>
        <v>9.4528426332154005</v>
      </c>
      <c r="P55" s="394">
        <v>465949</v>
      </c>
      <c r="Q55" s="397">
        <v>9.6470738963994531</v>
      </c>
      <c r="R55" s="391">
        <v>10.3</v>
      </c>
      <c r="S55" s="391"/>
      <c r="T55" s="394" t="s">
        <v>26</v>
      </c>
      <c r="U55" s="394" t="s">
        <v>26</v>
      </c>
      <c r="V55" s="402">
        <v>69.400000000000006</v>
      </c>
      <c r="W55" s="403"/>
      <c r="X55" s="396">
        <f t="shared" si="5"/>
        <v>9143969</v>
      </c>
      <c r="Y55" s="394">
        <v>7153452</v>
      </c>
      <c r="Z55" s="394">
        <v>2421314</v>
      </c>
      <c r="AA55" s="394">
        <v>12938763</v>
      </c>
    </row>
    <row r="56" spans="2:27" x14ac:dyDescent="0.15">
      <c r="B56" s="390" t="s">
        <v>139</v>
      </c>
      <c r="C56" s="417">
        <v>6398403</v>
      </c>
      <c r="D56" s="417">
        <f>目的別内訳!Q56</f>
        <v>8999082</v>
      </c>
      <c r="E56" s="391">
        <f t="shared" si="7"/>
        <v>140.64575176024391</v>
      </c>
      <c r="F56" s="417">
        <v>8967235</v>
      </c>
      <c r="G56" s="391">
        <f t="shared" si="8"/>
        <v>140.14801818516275</v>
      </c>
      <c r="H56" s="417">
        <v>657200</v>
      </c>
      <c r="I56" s="391">
        <f t="shared" si="11"/>
        <v>10.271313013575419</v>
      </c>
      <c r="J56" s="417">
        <v>911532</v>
      </c>
      <c r="K56" s="391">
        <f t="shared" si="9"/>
        <v>14.24624238266955</v>
      </c>
      <c r="L56" s="394" t="s">
        <v>26</v>
      </c>
      <c r="M56" s="394" t="s">
        <v>26</v>
      </c>
      <c r="N56" s="394" t="s">
        <v>26</v>
      </c>
      <c r="O56" s="393">
        <f t="shared" si="10"/>
        <v>10.165140090563034</v>
      </c>
      <c r="P56" s="394">
        <v>405083</v>
      </c>
      <c r="Q56" s="397">
        <v>10.435756747243516</v>
      </c>
      <c r="R56" s="391">
        <v>9.9</v>
      </c>
      <c r="S56" s="391"/>
      <c r="T56" s="394" t="s">
        <v>26</v>
      </c>
      <c r="U56" s="394" t="s">
        <v>26</v>
      </c>
      <c r="V56" s="402">
        <v>55.2</v>
      </c>
      <c r="W56" s="403"/>
      <c r="X56" s="396">
        <f t="shared" si="5"/>
        <v>8967235</v>
      </c>
      <c r="Y56" s="394">
        <v>6338934</v>
      </c>
      <c r="Z56" s="394">
        <v>2492872</v>
      </c>
      <c r="AA56" s="394">
        <v>12694552</v>
      </c>
    </row>
    <row r="57" spans="2:27" x14ac:dyDescent="0.15">
      <c r="B57" s="390" t="s">
        <v>140</v>
      </c>
      <c r="C57" s="417">
        <v>6358997</v>
      </c>
      <c r="D57" s="417">
        <f>目的別内訳!Q57</f>
        <v>9709505</v>
      </c>
      <c r="E57" s="391">
        <f>D57/C57*100</f>
        <v>152.68925272334616</v>
      </c>
      <c r="F57" s="417">
        <v>9404494</v>
      </c>
      <c r="G57" s="391">
        <f>F57/C57*100</f>
        <v>147.89272584968981</v>
      </c>
      <c r="H57" s="417">
        <v>1305300</v>
      </c>
      <c r="I57" s="391">
        <f>H57/C57*100</f>
        <v>20.526822075871397</v>
      </c>
      <c r="J57" s="417">
        <v>933416</v>
      </c>
      <c r="K57" s="391">
        <f>J57/C57*100</f>
        <v>14.678667091681282</v>
      </c>
      <c r="L57" s="394" t="s">
        <v>26</v>
      </c>
      <c r="M57" s="394" t="s">
        <v>26</v>
      </c>
      <c r="N57" s="394" t="s">
        <v>26</v>
      </c>
      <c r="O57" s="393">
        <f t="shared" si="10"/>
        <v>9.9252123506059977</v>
      </c>
      <c r="P57" s="394">
        <v>420446</v>
      </c>
      <c r="Q57" s="397">
        <v>10.370765406786656</v>
      </c>
      <c r="R57" s="391">
        <v>10.1</v>
      </c>
      <c r="S57" s="406">
        <v>68</v>
      </c>
      <c r="T57" s="394" t="s">
        <v>26</v>
      </c>
      <c r="U57" s="394" t="s">
        <v>26</v>
      </c>
      <c r="V57" s="402">
        <v>60.1</v>
      </c>
      <c r="W57" s="407">
        <v>69</v>
      </c>
      <c r="X57" s="396">
        <f t="shared" si="5"/>
        <v>9404494</v>
      </c>
      <c r="Y57" s="394">
        <v>6062712</v>
      </c>
      <c r="Z57" s="394">
        <v>2406512</v>
      </c>
      <c r="AA57" s="394">
        <v>12477692</v>
      </c>
    </row>
    <row r="58" spans="2:27" x14ac:dyDescent="0.15">
      <c r="B58" s="390" t="s">
        <v>141</v>
      </c>
      <c r="C58" s="417">
        <v>6348183</v>
      </c>
      <c r="D58" s="417">
        <v>9028907</v>
      </c>
      <c r="E58" s="391">
        <f t="shared" ref="E58:E59" si="12">D58/C58*100</f>
        <v>142.22820923719433</v>
      </c>
      <c r="F58" s="417">
        <v>9259476</v>
      </c>
      <c r="G58" s="391">
        <f t="shared" ref="G58:G59" si="13">F58/C58*100</f>
        <v>145.86025639147454</v>
      </c>
      <c r="H58" s="417">
        <v>712800</v>
      </c>
      <c r="I58" s="391">
        <f t="shared" ref="I58:I59" si="14">H58/C58*100</f>
        <v>11.228409767015222</v>
      </c>
      <c r="J58" s="417">
        <v>914968</v>
      </c>
      <c r="K58" s="391">
        <f t="shared" ref="K58:K59" si="15">J58/C58*100</f>
        <v>14.41306906243881</v>
      </c>
      <c r="L58" s="394" t="s">
        <v>26</v>
      </c>
      <c r="M58" s="394" t="s">
        <v>26</v>
      </c>
      <c r="N58" s="394" t="s">
        <v>26</v>
      </c>
      <c r="O58" s="393">
        <f t="shared" si="10"/>
        <v>9.8814230956481772</v>
      </c>
      <c r="P58" s="394">
        <v>433735</v>
      </c>
      <c r="Q58" s="397">
        <v>10.29739</v>
      </c>
      <c r="R58" s="391">
        <v>10.3</v>
      </c>
      <c r="S58" s="406">
        <v>64</v>
      </c>
      <c r="T58" s="394" t="s">
        <v>26</v>
      </c>
      <c r="U58" s="394" t="s">
        <v>26</v>
      </c>
      <c r="V58" s="393">
        <v>59.6</v>
      </c>
      <c r="W58" s="408">
        <v>68</v>
      </c>
      <c r="X58" s="409">
        <f t="shared" si="5"/>
        <v>9259476</v>
      </c>
      <c r="Y58" s="405"/>
      <c r="Z58" s="405"/>
      <c r="AA58" s="405"/>
    </row>
    <row r="59" spans="2:27" x14ac:dyDescent="0.15">
      <c r="B59" s="390" t="s">
        <v>142</v>
      </c>
      <c r="C59" s="417">
        <v>6404590</v>
      </c>
      <c r="D59" s="417">
        <v>9295564</v>
      </c>
      <c r="E59" s="391">
        <f t="shared" si="12"/>
        <v>145.1390955549067</v>
      </c>
      <c r="F59" s="417">
        <v>9259200</v>
      </c>
      <c r="G59" s="391">
        <f t="shared" si="13"/>
        <v>144.57131525983709</v>
      </c>
      <c r="H59" s="417">
        <v>831400</v>
      </c>
      <c r="I59" s="391">
        <f t="shared" si="14"/>
        <v>12.981314963174848</v>
      </c>
      <c r="J59" s="417">
        <v>879662</v>
      </c>
      <c r="K59" s="391">
        <f t="shared" si="15"/>
        <v>13.734868274159625</v>
      </c>
      <c r="L59" s="394" t="s">
        <v>26</v>
      </c>
      <c r="M59" s="394" t="s">
        <v>26</v>
      </c>
      <c r="N59" s="394" t="s">
        <v>26</v>
      </c>
      <c r="O59" s="393">
        <f t="shared" si="10"/>
        <v>9.5004104026265779</v>
      </c>
      <c r="P59" s="394">
        <v>331615</v>
      </c>
      <c r="Q59" s="397">
        <v>9.1306700000000003</v>
      </c>
      <c r="R59" s="391">
        <v>9.9</v>
      </c>
      <c r="S59" s="406"/>
      <c r="T59" s="394" t="s">
        <v>26</v>
      </c>
      <c r="U59" s="394" t="s">
        <v>26</v>
      </c>
      <c r="V59" s="393">
        <v>59.4</v>
      </c>
      <c r="W59" s="408"/>
      <c r="X59" s="409">
        <f t="shared" si="5"/>
        <v>9259200</v>
      </c>
      <c r="Y59" s="405"/>
      <c r="Z59" s="405"/>
      <c r="AA59" s="405"/>
    </row>
    <row r="60" spans="2:27" x14ac:dyDescent="0.15">
      <c r="B60" s="390" t="s">
        <v>143</v>
      </c>
      <c r="C60" s="417">
        <v>6859742</v>
      </c>
      <c r="D60" s="417">
        <v>12716215</v>
      </c>
      <c r="E60" s="391">
        <f>D60/C60*100</f>
        <v>185.374537409716</v>
      </c>
      <c r="F60" s="417">
        <v>9560195</v>
      </c>
      <c r="G60" s="391">
        <f>F60/C60*100</f>
        <v>139.36668463624434</v>
      </c>
      <c r="H60" s="417">
        <v>1128000</v>
      </c>
      <c r="I60" s="391">
        <f>H60/C60*100</f>
        <v>16.443767127101864</v>
      </c>
      <c r="J60" s="417">
        <v>866251</v>
      </c>
      <c r="K60" s="391">
        <f>J60/C60*100</f>
        <v>12.628040529804183</v>
      </c>
      <c r="L60" s="394" t="s">
        <v>26</v>
      </c>
      <c r="M60" s="394" t="s">
        <v>26</v>
      </c>
      <c r="N60" s="394" t="s">
        <v>26</v>
      </c>
      <c r="O60" s="393">
        <f t="shared" si="10"/>
        <v>9.0610181068482376</v>
      </c>
      <c r="P60" s="394">
        <v>386778</v>
      </c>
      <c r="Q60" s="397">
        <v>5.5</v>
      </c>
      <c r="R60" s="391">
        <v>8.3000000000000007</v>
      </c>
      <c r="S60" s="406"/>
      <c r="T60" s="394" t="s">
        <v>26</v>
      </c>
      <c r="U60" s="394" t="s">
        <v>26</v>
      </c>
      <c r="V60" s="393">
        <v>46.5</v>
      </c>
      <c r="W60" s="408"/>
      <c r="X60" s="409">
        <f t="shared" si="5"/>
        <v>9560195</v>
      </c>
      <c r="Y60" s="410"/>
      <c r="Z60" s="410"/>
      <c r="AA60" s="410"/>
    </row>
    <row r="61" spans="2:27" x14ac:dyDescent="0.15">
      <c r="B61" s="411" t="s">
        <v>144</v>
      </c>
      <c r="C61" s="418">
        <v>7152421</v>
      </c>
      <c r="D61" s="418">
        <v>11766962</v>
      </c>
      <c r="E61" s="412">
        <f>D61/C61*100</f>
        <v>164.51718935448571</v>
      </c>
      <c r="F61" s="418">
        <v>10296646</v>
      </c>
      <c r="G61" s="412">
        <f>F61/C61*100</f>
        <v>143.9602898095624</v>
      </c>
      <c r="H61" s="418">
        <v>1619400</v>
      </c>
      <c r="I61" s="412">
        <f>H61/C61*100</f>
        <v>22.641284678292848</v>
      </c>
      <c r="J61" s="418">
        <v>882949</v>
      </c>
      <c r="K61" s="412">
        <f>J61/C61*100</f>
        <v>12.344757110913914</v>
      </c>
      <c r="L61" s="410" t="s">
        <v>26</v>
      </c>
      <c r="M61" s="410" t="s">
        <v>26</v>
      </c>
      <c r="N61" s="410" t="s">
        <v>26</v>
      </c>
      <c r="O61" s="413">
        <f t="shared" si="10"/>
        <v>8.5751127114596351</v>
      </c>
      <c r="P61" s="410">
        <v>494670</v>
      </c>
      <c r="Q61" s="414">
        <v>6.9</v>
      </c>
      <c r="R61" s="412">
        <v>7.1</v>
      </c>
      <c r="S61" s="415"/>
      <c r="T61" s="410" t="s">
        <v>26</v>
      </c>
      <c r="U61" s="410" t="s">
        <v>26</v>
      </c>
      <c r="V61" s="413">
        <v>46.9</v>
      </c>
      <c r="W61" s="416"/>
      <c r="X61" s="409">
        <f t="shared" si="5"/>
        <v>10296646</v>
      </c>
      <c r="Y61" s="410"/>
      <c r="Z61" s="410"/>
      <c r="AA61" s="410"/>
    </row>
    <row r="62" spans="2:27" x14ac:dyDescent="0.15">
      <c r="B62" s="335"/>
      <c r="M62" s="336"/>
      <c r="N62" s="336"/>
      <c r="O62" s="336"/>
      <c r="Q62" s="336"/>
      <c r="R62" s="337"/>
      <c r="S62" s="337"/>
      <c r="T62" s="336"/>
      <c r="U62" s="336"/>
      <c r="V62" s="336"/>
      <c r="W62" s="336"/>
      <c r="X62" s="336"/>
    </row>
    <row r="63" spans="2:27" x14ac:dyDescent="0.15">
      <c r="M63" s="338"/>
      <c r="N63" s="338"/>
      <c r="O63" s="338"/>
      <c r="Q63" s="338"/>
      <c r="R63" s="338"/>
      <c r="S63" s="338"/>
      <c r="T63" s="338"/>
      <c r="U63" s="338"/>
      <c r="V63" s="338"/>
      <c r="W63" s="338"/>
      <c r="X63" s="338"/>
    </row>
    <row r="64" spans="2:27" x14ac:dyDescent="0.15">
      <c r="M64" s="338"/>
      <c r="N64" s="338"/>
      <c r="O64" s="338"/>
      <c r="Q64" s="338"/>
      <c r="R64" s="338"/>
      <c r="S64" s="338"/>
      <c r="T64" s="338"/>
      <c r="U64" s="338"/>
      <c r="V64" s="338"/>
      <c r="W64" s="338"/>
      <c r="X64" s="338"/>
    </row>
  </sheetData>
  <mergeCells count="3">
    <mergeCell ref="Q2:W2"/>
    <mergeCell ref="Q3:S3"/>
    <mergeCell ref="V3:W3"/>
  </mergeCells>
  <phoneticPr fontId="3"/>
  <printOptions horizontalCentered="1"/>
  <pageMargins left="0.39370078740157483" right="0.39370078740157483" top="0.98425196850393704" bottom="0.78740157480314965" header="0.51181102362204722" footer="0.51181102362204722"/>
  <pageSetup paperSize="9" scale="72" fitToHeight="0" orientation="landscape" r:id="rId1"/>
  <headerFooter alignWithMargins="0">
    <oddFooter>&amp;P / &amp;N ページ</oddFooter>
  </headerFooter>
  <rowBreaks count="1" manualBreakCount="1">
    <brk id="46" min="1" max="2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1"/>
  <sheetViews>
    <sheetView view="pageBreakPreview" zoomScale="136" zoomScaleNormal="130" zoomScaleSheetLayoutView="136" workbookViewId="0">
      <pane xSplit="2" ySplit="4" topLeftCell="C5" activePane="bottomRight" state="frozen"/>
      <selection activeCell="M19" sqref="M19"/>
      <selection pane="topRight" activeCell="M19" sqref="M19"/>
      <selection pane="bottomLeft" activeCell="M19" sqref="M19"/>
      <selection pane="bottomRight" activeCell="B1" sqref="B1"/>
    </sheetView>
  </sheetViews>
  <sheetFormatPr defaultColWidth="9.375" defaultRowHeight="12" x14ac:dyDescent="0.15"/>
  <cols>
    <col min="1" max="1" width="2.375" style="302" customWidth="1"/>
    <col min="2" max="2" width="9.875" style="302" customWidth="1"/>
    <col min="3" max="4" width="9.375" style="302"/>
    <col min="5" max="5" width="7.625" style="302" customWidth="1"/>
    <col min="6" max="6" width="9.375" style="302"/>
    <col min="7" max="7" width="9.375" style="302" customWidth="1"/>
    <col min="8" max="8" width="7.625" style="302" customWidth="1"/>
    <col min="9" max="9" width="9.375" style="302" customWidth="1"/>
    <col min="10" max="10" width="8.125" style="302" customWidth="1"/>
    <col min="11" max="11" width="9.375" style="302" customWidth="1"/>
    <col min="12" max="12" width="7.625" style="302" customWidth="1"/>
    <col min="13" max="13" width="7.5" style="302" customWidth="1"/>
    <col min="14" max="14" width="35.875" style="302" customWidth="1"/>
    <col min="15" max="16384" width="9.375" style="302"/>
  </cols>
  <sheetData>
    <row r="1" spans="2:14" ht="20.45" customHeight="1" x14ac:dyDescent="0.15">
      <c r="B1" s="301" t="s">
        <v>325</v>
      </c>
    </row>
    <row r="2" spans="2:14" x14ac:dyDescent="0.15">
      <c r="B2" s="303"/>
      <c r="C2" s="303"/>
      <c r="D2" s="303" t="s">
        <v>326</v>
      </c>
      <c r="E2" s="339" t="s">
        <v>327</v>
      </c>
      <c r="F2" s="303"/>
      <c r="G2" s="303" t="s">
        <v>328</v>
      </c>
      <c r="H2" s="339" t="s">
        <v>329</v>
      </c>
      <c r="I2" s="339" t="s">
        <v>330</v>
      </c>
      <c r="J2" s="339" t="s">
        <v>331</v>
      </c>
      <c r="K2" s="339" t="s">
        <v>332</v>
      </c>
      <c r="L2" s="339" t="s">
        <v>333</v>
      </c>
      <c r="M2" s="339" t="s">
        <v>334</v>
      </c>
      <c r="N2" s="303"/>
    </row>
    <row r="3" spans="2:14" x14ac:dyDescent="0.15">
      <c r="B3" s="308" t="s">
        <v>94</v>
      </c>
      <c r="C3" s="309" t="s">
        <v>335</v>
      </c>
      <c r="D3" s="309" t="s">
        <v>336</v>
      </c>
      <c r="E3" s="340" t="s">
        <v>337</v>
      </c>
      <c r="F3" s="309" t="s">
        <v>338</v>
      </c>
      <c r="G3" s="309" t="s">
        <v>339</v>
      </c>
      <c r="H3" s="340" t="s">
        <v>340</v>
      </c>
      <c r="I3" s="340" t="s">
        <v>341</v>
      </c>
      <c r="J3" s="341" t="s">
        <v>342</v>
      </c>
      <c r="K3" s="340" t="s">
        <v>343</v>
      </c>
      <c r="L3" s="340" t="s">
        <v>344</v>
      </c>
      <c r="M3" s="340" t="s">
        <v>345</v>
      </c>
      <c r="N3" s="308" t="s">
        <v>346</v>
      </c>
    </row>
    <row r="4" spans="2:14" x14ac:dyDescent="0.15">
      <c r="B4" s="342"/>
      <c r="C4" s="343" t="s">
        <v>347</v>
      </c>
      <c r="D4" s="343" t="s">
        <v>348</v>
      </c>
      <c r="E4" s="344" t="s">
        <v>349</v>
      </c>
      <c r="F4" s="343" t="s">
        <v>350</v>
      </c>
      <c r="G4" s="343" t="s">
        <v>351</v>
      </c>
      <c r="H4" s="344" t="s">
        <v>352</v>
      </c>
      <c r="I4" s="343" t="s">
        <v>353</v>
      </c>
      <c r="J4" s="344" t="s">
        <v>354</v>
      </c>
      <c r="K4" s="344" t="s">
        <v>355</v>
      </c>
      <c r="L4" s="344" t="s">
        <v>356</v>
      </c>
      <c r="M4" s="344" t="s">
        <v>331</v>
      </c>
      <c r="N4" s="343"/>
    </row>
    <row r="5" spans="2:14" x14ac:dyDescent="0.15">
      <c r="B5" s="390" t="s">
        <v>25</v>
      </c>
      <c r="C5" s="374">
        <v>11234</v>
      </c>
      <c r="D5" s="398"/>
      <c r="E5" s="398"/>
      <c r="F5" s="398"/>
      <c r="G5" s="398"/>
      <c r="H5" s="398"/>
      <c r="I5" s="419">
        <v>79451</v>
      </c>
      <c r="J5" s="392">
        <v>2</v>
      </c>
      <c r="K5" s="398"/>
      <c r="L5" s="398"/>
      <c r="M5" s="398"/>
      <c r="N5" s="420"/>
    </row>
    <row r="6" spans="2:14" x14ac:dyDescent="0.15">
      <c r="B6" s="390" t="s">
        <v>28</v>
      </c>
      <c r="C6" s="374">
        <v>15481</v>
      </c>
      <c r="D6" s="398"/>
      <c r="E6" s="398"/>
      <c r="F6" s="398"/>
      <c r="G6" s="398"/>
      <c r="H6" s="398"/>
      <c r="I6" s="419">
        <v>90980</v>
      </c>
      <c r="J6" s="392">
        <v>5.4</v>
      </c>
      <c r="K6" s="398"/>
      <c r="L6" s="398"/>
      <c r="M6" s="398"/>
      <c r="N6" s="420"/>
    </row>
    <row r="7" spans="2:14" x14ac:dyDescent="0.15">
      <c r="B7" s="390" t="s">
        <v>29</v>
      </c>
      <c r="C7" s="374">
        <v>21300</v>
      </c>
      <c r="D7" s="398"/>
      <c r="E7" s="398"/>
      <c r="F7" s="398"/>
      <c r="G7" s="398"/>
      <c r="H7" s="398"/>
      <c r="I7" s="419">
        <v>108397</v>
      </c>
      <c r="J7" s="392">
        <v>6.3</v>
      </c>
      <c r="K7" s="398"/>
      <c r="L7" s="398"/>
      <c r="M7" s="398">
        <v>1</v>
      </c>
      <c r="N7" s="420"/>
    </row>
    <row r="8" spans="2:14" x14ac:dyDescent="0.15">
      <c r="B8" s="390" t="s">
        <v>30</v>
      </c>
      <c r="C8" s="374">
        <v>32498</v>
      </c>
      <c r="D8" s="398"/>
      <c r="E8" s="398"/>
      <c r="F8" s="398"/>
      <c r="G8" s="398"/>
      <c r="H8" s="398"/>
      <c r="I8" s="419">
        <v>125979</v>
      </c>
      <c r="J8" s="392">
        <v>6.9</v>
      </c>
      <c r="K8" s="398"/>
      <c r="L8" s="398"/>
      <c r="M8" s="398">
        <v>3</v>
      </c>
      <c r="N8" s="420"/>
    </row>
    <row r="9" spans="2:14" x14ac:dyDescent="0.15">
      <c r="B9" s="390" t="s">
        <v>31</v>
      </c>
      <c r="C9" s="374">
        <v>22218</v>
      </c>
      <c r="D9" s="398"/>
      <c r="E9" s="398"/>
      <c r="F9" s="398"/>
      <c r="G9" s="398"/>
      <c r="H9" s="398"/>
      <c r="I9" s="419">
        <v>167005</v>
      </c>
      <c r="J9" s="392">
        <v>6.1</v>
      </c>
      <c r="K9" s="398"/>
      <c r="L9" s="398"/>
      <c r="M9" s="398">
        <v>5</v>
      </c>
      <c r="N9" s="420"/>
    </row>
    <row r="10" spans="2:14" x14ac:dyDescent="0.15">
      <c r="B10" s="390" t="s">
        <v>32</v>
      </c>
      <c r="C10" s="374">
        <v>33962</v>
      </c>
      <c r="D10" s="374">
        <v>33962</v>
      </c>
      <c r="E10" s="374"/>
      <c r="F10" s="374">
        <f t="shared" ref="F10:F52" si="0">D10-E10</f>
        <v>33962</v>
      </c>
      <c r="G10" s="419">
        <v>130987</v>
      </c>
      <c r="H10" s="419">
        <v>14794</v>
      </c>
      <c r="I10" s="419">
        <v>210582</v>
      </c>
      <c r="J10" s="392">
        <f t="shared" ref="J10:J52" si="1">(F10-H10)/(G10-H10+I10)*100</f>
        <v>5.8658098079718464</v>
      </c>
      <c r="K10" s="419">
        <v>1339</v>
      </c>
      <c r="L10" s="421" t="s">
        <v>357</v>
      </c>
      <c r="M10" s="421">
        <v>7</v>
      </c>
      <c r="N10" s="420"/>
    </row>
    <row r="11" spans="2:14" x14ac:dyDescent="0.15">
      <c r="B11" s="390" t="s">
        <v>33</v>
      </c>
      <c r="C11" s="374">
        <v>39067</v>
      </c>
      <c r="D11" s="374">
        <v>39067</v>
      </c>
      <c r="E11" s="374"/>
      <c r="F11" s="374">
        <f t="shared" si="0"/>
        <v>39067</v>
      </c>
      <c r="G11" s="419">
        <v>170566</v>
      </c>
      <c r="H11" s="419">
        <v>15160</v>
      </c>
      <c r="I11" s="419">
        <v>276283</v>
      </c>
      <c r="J11" s="392">
        <f t="shared" si="1"/>
        <v>5.5380146355362303</v>
      </c>
      <c r="K11" s="419">
        <v>4543</v>
      </c>
      <c r="L11" s="421" t="s">
        <v>358</v>
      </c>
      <c r="M11" s="421">
        <v>9</v>
      </c>
      <c r="N11" s="420"/>
    </row>
    <row r="12" spans="2:14" x14ac:dyDescent="0.15">
      <c r="B12" s="390" t="s">
        <v>34</v>
      </c>
      <c r="C12" s="374">
        <v>52511</v>
      </c>
      <c r="D12" s="374">
        <v>52511</v>
      </c>
      <c r="E12" s="374"/>
      <c r="F12" s="374">
        <f t="shared" si="0"/>
        <v>52511</v>
      </c>
      <c r="G12" s="419">
        <v>192879</v>
      </c>
      <c r="H12" s="419">
        <v>12598</v>
      </c>
      <c r="I12" s="419">
        <v>318442</v>
      </c>
      <c r="J12" s="392">
        <f t="shared" si="1"/>
        <v>8.0030397635561226</v>
      </c>
      <c r="K12" s="419">
        <v>4692</v>
      </c>
      <c r="L12" s="421" t="s">
        <v>359</v>
      </c>
      <c r="M12" s="421">
        <v>11</v>
      </c>
      <c r="N12" s="420"/>
    </row>
    <row r="13" spans="2:14" x14ac:dyDescent="0.15">
      <c r="B13" s="390" t="s">
        <v>35</v>
      </c>
      <c r="C13" s="374">
        <v>84146</v>
      </c>
      <c r="D13" s="374">
        <v>84146</v>
      </c>
      <c r="E13" s="374"/>
      <c r="F13" s="374">
        <f t="shared" si="0"/>
        <v>84146</v>
      </c>
      <c r="G13" s="419">
        <v>233943</v>
      </c>
      <c r="H13" s="419">
        <v>9585</v>
      </c>
      <c r="I13" s="419">
        <v>393265</v>
      </c>
      <c r="J13" s="392">
        <f t="shared" si="1"/>
        <v>12.072251195308464</v>
      </c>
      <c r="K13" s="419">
        <v>5077</v>
      </c>
      <c r="L13" s="421" t="s">
        <v>360</v>
      </c>
      <c r="M13" s="421">
        <v>13</v>
      </c>
      <c r="N13" s="420"/>
    </row>
    <row r="14" spans="2:14" x14ac:dyDescent="0.15">
      <c r="B14" s="390" t="s">
        <v>36</v>
      </c>
      <c r="C14" s="374">
        <v>111157</v>
      </c>
      <c r="D14" s="374">
        <v>111157</v>
      </c>
      <c r="E14" s="374"/>
      <c r="F14" s="374">
        <f t="shared" si="0"/>
        <v>111157</v>
      </c>
      <c r="G14" s="419">
        <v>341384</v>
      </c>
      <c r="H14" s="419">
        <v>7268</v>
      </c>
      <c r="I14" s="419">
        <v>483989</v>
      </c>
      <c r="J14" s="392">
        <f t="shared" si="1"/>
        <v>12.698736714724882</v>
      </c>
      <c r="K14" s="419">
        <v>5190</v>
      </c>
      <c r="L14" s="421" t="s">
        <v>361</v>
      </c>
      <c r="M14" s="421">
        <v>15</v>
      </c>
      <c r="N14" s="420"/>
    </row>
    <row r="15" spans="2:14" x14ac:dyDescent="0.15">
      <c r="B15" s="390" t="s">
        <v>37</v>
      </c>
      <c r="C15" s="374">
        <v>140112</v>
      </c>
      <c r="D15" s="374">
        <v>140112</v>
      </c>
      <c r="E15" s="374"/>
      <c r="F15" s="374">
        <f t="shared" si="0"/>
        <v>140112</v>
      </c>
      <c r="G15" s="419">
        <v>454531</v>
      </c>
      <c r="H15" s="419">
        <v>6351</v>
      </c>
      <c r="I15" s="419">
        <v>454400</v>
      </c>
      <c r="J15" s="392">
        <f t="shared" si="1"/>
        <v>14.819849764009838</v>
      </c>
      <c r="K15" s="419">
        <v>6984</v>
      </c>
      <c r="L15" s="419">
        <v>6762</v>
      </c>
      <c r="M15" s="392">
        <v>16</v>
      </c>
      <c r="N15" s="420"/>
    </row>
    <row r="16" spans="2:14" x14ac:dyDescent="0.15">
      <c r="B16" s="390" t="s">
        <v>38</v>
      </c>
      <c r="C16" s="374">
        <v>169021</v>
      </c>
      <c r="D16" s="374">
        <v>169021</v>
      </c>
      <c r="E16" s="374"/>
      <c r="F16" s="374">
        <f t="shared" si="0"/>
        <v>169021</v>
      </c>
      <c r="G16" s="419">
        <v>548408</v>
      </c>
      <c r="H16" s="419">
        <v>6074</v>
      </c>
      <c r="I16" s="419">
        <v>520548</v>
      </c>
      <c r="J16" s="392">
        <f t="shared" si="1"/>
        <v>15.330676406223834</v>
      </c>
      <c r="K16" s="419">
        <v>4291</v>
      </c>
      <c r="L16" s="419">
        <v>4150</v>
      </c>
      <c r="M16" s="392">
        <v>17</v>
      </c>
      <c r="N16" s="420"/>
    </row>
    <row r="17" spans="2:14" x14ac:dyDescent="0.15">
      <c r="B17" s="390" t="s">
        <v>39</v>
      </c>
      <c r="C17" s="374">
        <v>177614</v>
      </c>
      <c r="D17" s="374">
        <v>177614</v>
      </c>
      <c r="E17" s="374"/>
      <c r="F17" s="374">
        <f t="shared" si="0"/>
        <v>177614</v>
      </c>
      <c r="G17" s="419">
        <v>606703</v>
      </c>
      <c r="H17" s="419">
        <v>11437</v>
      </c>
      <c r="I17" s="419">
        <v>601818</v>
      </c>
      <c r="J17" s="392">
        <f t="shared" si="1"/>
        <v>13.881816146569498</v>
      </c>
      <c r="K17" s="419">
        <v>11166</v>
      </c>
      <c r="L17" s="419">
        <v>11040</v>
      </c>
      <c r="M17" s="392">
        <v>19</v>
      </c>
      <c r="N17" s="420"/>
    </row>
    <row r="18" spans="2:14" x14ac:dyDescent="0.15">
      <c r="B18" s="390" t="s">
        <v>40</v>
      </c>
      <c r="C18" s="374">
        <v>207338</v>
      </c>
      <c r="D18" s="374">
        <v>207338</v>
      </c>
      <c r="E18" s="374"/>
      <c r="F18" s="374">
        <f t="shared" si="0"/>
        <v>207338</v>
      </c>
      <c r="G18" s="419">
        <v>822141</v>
      </c>
      <c r="H18" s="419">
        <v>13714</v>
      </c>
      <c r="I18" s="419">
        <v>614773</v>
      </c>
      <c r="J18" s="392">
        <f t="shared" si="1"/>
        <v>13.604834176503655</v>
      </c>
      <c r="K18" s="419">
        <v>14362</v>
      </c>
      <c r="L18" s="419">
        <v>14311</v>
      </c>
      <c r="M18" s="392">
        <v>21</v>
      </c>
      <c r="N18" s="420"/>
    </row>
    <row r="19" spans="2:14" x14ac:dyDescent="0.15">
      <c r="B19" s="390" t="s">
        <v>41</v>
      </c>
      <c r="C19" s="374">
        <v>339754</v>
      </c>
      <c r="D19" s="374">
        <v>331509</v>
      </c>
      <c r="E19" s="374">
        <v>108765</v>
      </c>
      <c r="F19" s="374">
        <f t="shared" si="0"/>
        <v>222744</v>
      </c>
      <c r="G19" s="419">
        <v>995396</v>
      </c>
      <c r="H19" s="419">
        <v>22763</v>
      </c>
      <c r="I19" s="419">
        <v>623137</v>
      </c>
      <c r="J19" s="392">
        <f t="shared" si="1"/>
        <v>12.531943826491288</v>
      </c>
      <c r="K19" s="419">
        <v>22597</v>
      </c>
      <c r="L19" s="419">
        <v>22559</v>
      </c>
      <c r="M19" s="392">
        <f t="shared" ref="M19:M52" si="2">(F19-H19+L19)/(G19-H19+I19)*100</f>
        <v>13.945618729516157</v>
      </c>
      <c r="N19" s="420" t="s">
        <v>362</v>
      </c>
    </row>
    <row r="20" spans="2:14" x14ac:dyDescent="0.15">
      <c r="B20" s="390" t="s">
        <v>42</v>
      </c>
      <c r="C20" s="374">
        <v>319616</v>
      </c>
      <c r="D20" s="374">
        <v>319616</v>
      </c>
      <c r="E20" s="374">
        <v>129004</v>
      </c>
      <c r="F20" s="374">
        <f t="shared" si="0"/>
        <v>190612</v>
      </c>
      <c r="G20" s="419">
        <v>1038338</v>
      </c>
      <c r="H20" s="419">
        <v>31751</v>
      </c>
      <c r="I20" s="419">
        <v>703054</v>
      </c>
      <c r="J20" s="392">
        <f t="shared" si="1"/>
        <v>9.2920677498960309</v>
      </c>
      <c r="K20" s="419">
        <v>60817</v>
      </c>
      <c r="L20" s="419">
        <v>56829</v>
      </c>
      <c r="M20" s="392">
        <f t="shared" si="2"/>
        <v>12.616098935390529</v>
      </c>
      <c r="N20" s="420" t="s">
        <v>363</v>
      </c>
    </row>
    <row r="21" spans="2:14" x14ac:dyDescent="0.15">
      <c r="B21" s="390" t="s">
        <v>43</v>
      </c>
      <c r="C21" s="374">
        <v>221756</v>
      </c>
      <c r="D21" s="374">
        <v>221756</v>
      </c>
      <c r="E21" s="374">
        <v>8518</v>
      </c>
      <c r="F21" s="374">
        <f t="shared" si="0"/>
        <v>213238</v>
      </c>
      <c r="G21" s="419">
        <v>1093417</v>
      </c>
      <c r="H21" s="419">
        <v>33318</v>
      </c>
      <c r="I21" s="419">
        <v>893479</v>
      </c>
      <c r="J21" s="392">
        <f t="shared" si="1"/>
        <v>9.2097679232669503</v>
      </c>
      <c r="K21" s="419">
        <v>67968</v>
      </c>
      <c r="L21" s="419">
        <v>64092</v>
      </c>
      <c r="M21" s="392">
        <f t="shared" si="2"/>
        <v>12.490517399356463</v>
      </c>
      <c r="N21" s="420" t="s">
        <v>364</v>
      </c>
    </row>
    <row r="22" spans="2:14" x14ac:dyDescent="0.15">
      <c r="B22" s="390" t="s">
        <v>44</v>
      </c>
      <c r="C22" s="374">
        <v>241666</v>
      </c>
      <c r="D22" s="374">
        <v>241666</v>
      </c>
      <c r="E22" s="374">
        <v>307</v>
      </c>
      <c r="F22" s="374">
        <f t="shared" si="0"/>
        <v>241359</v>
      </c>
      <c r="G22" s="419">
        <v>1526004</v>
      </c>
      <c r="H22" s="419">
        <v>34363</v>
      </c>
      <c r="I22" s="419">
        <v>763594</v>
      </c>
      <c r="J22" s="392">
        <f t="shared" si="1"/>
        <v>9.1784669890277506</v>
      </c>
      <c r="K22" s="419">
        <v>69091</v>
      </c>
      <c r="L22" s="419">
        <v>65011</v>
      </c>
      <c r="M22" s="392">
        <f t="shared" si="2"/>
        <v>12.061137752828419</v>
      </c>
      <c r="N22" s="420" t="s">
        <v>365</v>
      </c>
    </row>
    <row r="23" spans="2:14" x14ac:dyDescent="0.15">
      <c r="B23" s="390" t="s">
        <v>45</v>
      </c>
      <c r="C23" s="374">
        <v>292770</v>
      </c>
      <c r="D23" s="374">
        <v>292770</v>
      </c>
      <c r="E23" s="374">
        <v>4918</v>
      </c>
      <c r="F23" s="374">
        <f t="shared" si="0"/>
        <v>287852</v>
      </c>
      <c r="G23" s="419">
        <v>1584091</v>
      </c>
      <c r="H23" s="419">
        <v>43395</v>
      </c>
      <c r="I23" s="419">
        <v>812503</v>
      </c>
      <c r="J23" s="392">
        <f t="shared" si="1"/>
        <v>10.388284203758372</v>
      </c>
      <c r="K23" s="419">
        <v>698223</v>
      </c>
      <c r="L23" s="419">
        <v>71861</v>
      </c>
      <c r="M23" s="392">
        <f t="shared" si="2"/>
        <v>13.442042088238182</v>
      </c>
      <c r="N23" s="422" t="s">
        <v>366</v>
      </c>
    </row>
    <row r="24" spans="2:14" x14ac:dyDescent="0.15">
      <c r="B24" s="390" t="s">
        <v>46</v>
      </c>
      <c r="C24" s="374">
        <v>302380</v>
      </c>
      <c r="D24" s="374">
        <v>302380</v>
      </c>
      <c r="E24" s="374"/>
      <c r="F24" s="374">
        <f t="shared" si="0"/>
        <v>302380</v>
      </c>
      <c r="G24" s="419">
        <v>1722659</v>
      </c>
      <c r="H24" s="419">
        <v>45039</v>
      </c>
      <c r="I24" s="419">
        <v>700259</v>
      </c>
      <c r="J24" s="392">
        <f t="shared" si="1"/>
        <v>10.822291630482459</v>
      </c>
      <c r="K24" s="419">
        <v>350142</v>
      </c>
      <c r="L24" s="419">
        <v>76791</v>
      </c>
      <c r="M24" s="392">
        <f t="shared" si="2"/>
        <v>14.051682192407602</v>
      </c>
      <c r="N24" s="420"/>
    </row>
    <row r="25" spans="2:14" x14ac:dyDescent="0.15">
      <c r="B25" s="390" t="s">
        <v>47</v>
      </c>
      <c r="C25" s="374">
        <v>322120</v>
      </c>
      <c r="D25" s="374">
        <v>320900</v>
      </c>
      <c r="E25" s="374">
        <v>712</v>
      </c>
      <c r="F25" s="374">
        <f t="shared" si="0"/>
        <v>320188</v>
      </c>
      <c r="G25" s="419">
        <v>2102617</v>
      </c>
      <c r="H25" s="419">
        <v>49133</v>
      </c>
      <c r="I25" s="419">
        <v>594521</v>
      </c>
      <c r="J25" s="392">
        <f t="shared" si="1"/>
        <v>10.236196683918648</v>
      </c>
      <c r="K25" s="419">
        <v>190321</v>
      </c>
      <c r="L25" s="419">
        <v>77852</v>
      </c>
      <c r="M25" s="392">
        <f t="shared" si="2"/>
        <v>13.17622134399293</v>
      </c>
      <c r="N25" s="420" t="s">
        <v>367</v>
      </c>
    </row>
    <row r="26" spans="2:14" x14ac:dyDescent="0.15">
      <c r="B26" s="390" t="s">
        <v>48</v>
      </c>
      <c r="C26" s="374">
        <v>339210</v>
      </c>
      <c r="D26" s="374">
        <v>332362</v>
      </c>
      <c r="E26" s="374"/>
      <c r="F26" s="374">
        <f t="shared" si="0"/>
        <v>332362</v>
      </c>
      <c r="G26" s="419">
        <v>2173011</v>
      </c>
      <c r="H26" s="419">
        <v>52907</v>
      </c>
      <c r="I26" s="419">
        <v>628729</v>
      </c>
      <c r="J26" s="392">
        <f t="shared" si="1"/>
        <v>10.166314214068297</v>
      </c>
      <c r="K26" s="419">
        <v>114651</v>
      </c>
      <c r="L26" s="419">
        <v>109722</v>
      </c>
      <c r="M26" s="392">
        <f t="shared" si="2"/>
        <v>14.157899006596617</v>
      </c>
      <c r="N26" s="420"/>
    </row>
    <row r="27" spans="2:14" x14ac:dyDescent="0.15">
      <c r="B27" s="390" t="s">
        <v>49</v>
      </c>
      <c r="C27" s="374">
        <v>340185</v>
      </c>
      <c r="D27" s="374">
        <v>335659</v>
      </c>
      <c r="E27" s="374"/>
      <c r="F27" s="374">
        <f t="shared" si="0"/>
        <v>335659</v>
      </c>
      <c r="G27" s="419">
        <v>2194284</v>
      </c>
      <c r="H27" s="419">
        <v>47630</v>
      </c>
      <c r="I27" s="419">
        <v>752335</v>
      </c>
      <c r="J27" s="392">
        <f t="shared" si="1"/>
        <v>9.935498202994216</v>
      </c>
      <c r="K27" s="419">
        <v>150221</v>
      </c>
      <c r="L27" s="419">
        <v>80638</v>
      </c>
      <c r="M27" s="392">
        <f t="shared" si="2"/>
        <v>12.717088612616328</v>
      </c>
      <c r="N27" s="420"/>
    </row>
    <row r="28" spans="2:14" x14ac:dyDescent="0.15">
      <c r="B28" s="390" t="s">
        <v>50</v>
      </c>
      <c r="C28" s="374">
        <v>441655</v>
      </c>
      <c r="D28" s="374">
        <v>432634</v>
      </c>
      <c r="E28" s="374"/>
      <c r="F28" s="374">
        <f t="shared" si="0"/>
        <v>432634</v>
      </c>
      <c r="G28" s="419">
        <v>2090913</v>
      </c>
      <c r="H28" s="419">
        <v>46781</v>
      </c>
      <c r="I28" s="419">
        <v>971213</v>
      </c>
      <c r="J28" s="392">
        <f t="shared" si="1"/>
        <v>12.796313522996538</v>
      </c>
      <c r="K28" s="419">
        <v>214527</v>
      </c>
      <c r="L28" s="419">
        <v>116785</v>
      </c>
      <c r="M28" s="392">
        <f t="shared" si="2"/>
        <v>16.669336344597387</v>
      </c>
      <c r="N28" s="420"/>
    </row>
    <row r="29" spans="2:14" x14ac:dyDescent="0.15">
      <c r="B29" s="390" t="s">
        <v>51</v>
      </c>
      <c r="C29" s="374">
        <v>378108</v>
      </c>
      <c r="D29" s="374">
        <v>367122</v>
      </c>
      <c r="E29" s="374"/>
      <c r="F29" s="374">
        <f t="shared" si="0"/>
        <v>367122</v>
      </c>
      <c r="G29" s="419">
        <v>2458665</v>
      </c>
      <c r="H29" s="419">
        <v>51018</v>
      </c>
      <c r="I29" s="419">
        <v>1161796</v>
      </c>
      <c r="J29" s="392">
        <f t="shared" si="1"/>
        <v>8.8558354902991869</v>
      </c>
      <c r="K29" s="419">
        <v>222756</v>
      </c>
      <c r="L29" s="419">
        <v>118214</v>
      </c>
      <c r="M29" s="392">
        <f t="shared" si="2"/>
        <v>12.167668737111084</v>
      </c>
      <c r="N29" s="420"/>
    </row>
    <row r="30" spans="2:14" x14ac:dyDescent="0.15">
      <c r="B30" s="390" t="s">
        <v>53</v>
      </c>
      <c r="C30" s="374">
        <v>425794</v>
      </c>
      <c r="D30" s="374">
        <v>419153</v>
      </c>
      <c r="E30" s="374"/>
      <c r="F30" s="374">
        <f t="shared" si="0"/>
        <v>419153</v>
      </c>
      <c r="G30" s="419">
        <v>2749928</v>
      </c>
      <c r="H30" s="419">
        <v>36880</v>
      </c>
      <c r="I30" s="419">
        <v>1178811</v>
      </c>
      <c r="J30" s="392">
        <f t="shared" si="1"/>
        <v>9.8223753738252082</v>
      </c>
      <c r="K30" s="419">
        <v>226457</v>
      </c>
      <c r="L30" s="419">
        <v>154528</v>
      </c>
      <c r="M30" s="392">
        <f t="shared" si="2"/>
        <v>13.792920041553408</v>
      </c>
      <c r="N30" s="420"/>
    </row>
    <row r="31" spans="2:14" x14ac:dyDescent="0.15">
      <c r="B31" s="390" t="s">
        <v>54</v>
      </c>
      <c r="C31" s="374">
        <v>488027</v>
      </c>
      <c r="D31" s="374">
        <v>481531</v>
      </c>
      <c r="E31" s="374"/>
      <c r="F31" s="374">
        <f t="shared" si="0"/>
        <v>481531</v>
      </c>
      <c r="G31" s="419">
        <v>3002211</v>
      </c>
      <c r="H31" s="419">
        <v>41465</v>
      </c>
      <c r="I31" s="419">
        <v>1435319</v>
      </c>
      <c r="J31" s="392">
        <f t="shared" si="1"/>
        <v>10.010452529705544</v>
      </c>
      <c r="K31" s="419">
        <v>98499</v>
      </c>
      <c r="L31" s="419">
        <v>98499</v>
      </c>
      <c r="M31" s="392">
        <f t="shared" si="2"/>
        <v>12.251069991003318</v>
      </c>
      <c r="N31" s="420"/>
    </row>
    <row r="32" spans="2:14" x14ac:dyDescent="0.15">
      <c r="B32" s="390" t="s">
        <v>55</v>
      </c>
      <c r="C32" s="374">
        <v>546849</v>
      </c>
      <c r="D32" s="374">
        <v>535576</v>
      </c>
      <c r="E32" s="374"/>
      <c r="F32" s="374">
        <f t="shared" si="0"/>
        <v>535576</v>
      </c>
      <c r="G32" s="419">
        <v>3185759</v>
      </c>
      <c r="H32" s="419">
        <v>6396</v>
      </c>
      <c r="I32" s="419">
        <v>1961507</v>
      </c>
      <c r="J32" s="392">
        <f t="shared" si="1"/>
        <v>10.293588439310856</v>
      </c>
      <c r="K32" s="419">
        <v>230125</v>
      </c>
      <c r="L32" s="419">
        <v>230125</v>
      </c>
      <c r="M32" s="392">
        <f t="shared" si="2"/>
        <v>14.769970841511263</v>
      </c>
      <c r="N32" s="420"/>
    </row>
    <row r="33" spans="2:14" x14ac:dyDescent="0.15">
      <c r="B33" s="390" t="s">
        <v>56</v>
      </c>
      <c r="C33" s="374">
        <v>624697</v>
      </c>
      <c r="D33" s="374">
        <v>585864</v>
      </c>
      <c r="E33" s="374">
        <f>585864-567664</f>
        <v>18200</v>
      </c>
      <c r="F33" s="374">
        <f t="shared" si="0"/>
        <v>567664</v>
      </c>
      <c r="G33" s="419">
        <v>3266035</v>
      </c>
      <c r="H33" s="419">
        <v>34494</v>
      </c>
      <c r="I33" s="419">
        <v>1338504</v>
      </c>
      <c r="J33" s="392">
        <f t="shared" si="1"/>
        <v>11.666624726889998</v>
      </c>
      <c r="K33" s="419">
        <v>127966</v>
      </c>
      <c r="L33" s="419">
        <v>99794</v>
      </c>
      <c r="M33" s="392">
        <f t="shared" si="2"/>
        <v>13.850279373616672</v>
      </c>
      <c r="N33" s="420"/>
    </row>
    <row r="34" spans="2:14" x14ac:dyDescent="0.15">
      <c r="B34" s="390" t="s">
        <v>57</v>
      </c>
      <c r="C34" s="419">
        <v>833494</v>
      </c>
      <c r="D34" s="374">
        <v>767786</v>
      </c>
      <c r="E34" s="374">
        <v>111956</v>
      </c>
      <c r="F34" s="374">
        <f t="shared" si="0"/>
        <v>655830</v>
      </c>
      <c r="G34" s="419">
        <v>3213198</v>
      </c>
      <c r="H34" s="419">
        <v>35410</v>
      </c>
      <c r="I34" s="419">
        <v>1661423</v>
      </c>
      <c r="J34" s="392">
        <f t="shared" si="1"/>
        <v>12.820685024893521</v>
      </c>
      <c r="K34" s="419">
        <v>140562</v>
      </c>
      <c r="L34" s="419">
        <v>110098</v>
      </c>
      <c r="M34" s="392">
        <f t="shared" si="2"/>
        <v>15.095807973655209</v>
      </c>
      <c r="N34" s="420" t="s">
        <v>368</v>
      </c>
    </row>
    <row r="35" spans="2:14" x14ac:dyDescent="0.15">
      <c r="B35" s="390" t="s">
        <v>58</v>
      </c>
      <c r="C35" s="374">
        <v>899274</v>
      </c>
      <c r="D35" s="374">
        <v>887510</v>
      </c>
      <c r="E35" s="374">
        <v>147571</v>
      </c>
      <c r="F35" s="374">
        <f t="shared" si="0"/>
        <v>739939</v>
      </c>
      <c r="G35" s="419">
        <v>3434427</v>
      </c>
      <c r="H35" s="419">
        <v>45786</v>
      </c>
      <c r="I35" s="419">
        <v>1876304</v>
      </c>
      <c r="J35" s="392">
        <f t="shared" si="1"/>
        <v>13.184430226716518</v>
      </c>
      <c r="K35" s="419">
        <v>265179</v>
      </c>
      <c r="L35" s="419">
        <v>233074</v>
      </c>
      <c r="M35" s="392">
        <f t="shared" si="2"/>
        <v>17.611333071855451</v>
      </c>
      <c r="N35" s="420" t="s">
        <v>369</v>
      </c>
    </row>
    <row r="36" spans="2:14" x14ac:dyDescent="0.15">
      <c r="B36" s="390" t="s">
        <v>59</v>
      </c>
      <c r="C36" s="374">
        <v>981268</v>
      </c>
      <c r="D36" s="374">
        <v>968987</v>
      </c>
      <c r="E36" s="374">
        <v>111300</v>
      </c>
      <c r="F36" s="374">
        <f t="shared" si="0"/>
        <v>857687</v>
      </c>
      <c r="G36" s="419">
        <v>3624316</v>
      </c>
      <c r="H36" s="419">
        <v>37287</v>
      </c>
      <c r="I36" s="419">
        <v>1948065</v>
      </c>
      <c r="J36" s="392">
        <f t="shared" si="1"/>
        <v>14.821789837715492</v>
      </c>
      <c r="K36" s="419">
        <v>166716</v>
      </c>
      <c r="L36" s="419">
        <v>134611</v>
      </c>
      <c r="M36" s="392">
        <f t="shared" si="2"/>
        <v>17.253744922850451</v>
      </c>
      <c r="N36" s="420" t="s">
        <v>369</v>
      </c>
    </row>
    <row r="37" spans="2:14" x14ac:dyDescent="0.15">
      <c r="B37" s="390" t="s">
        <v>60</v>
      </c>
      <c r="C37" s="374">
        <v>1134448</v>
      </c>
      <c r="D37" s="374">
        <v>1116037</v>
      </c>
      <c r="E37" s="374">
        <v>125790</v>
      </c>
      <c r="F37" s="374">
        <f t="shared" si="0"/>
        <v>990247</v>
      </c>
      <c r="G37" s="419">
        <v>3832490</v>
      </c>
      <c r="H37" s="419">
        <v>63675</v>
      </c>
      <c r="I37" s="419">
        <v>1792204</v>
      </c>
      <c r="J37" s="392">
        <f t="shared" si="1"/>
        <v>16.661910344129378</v>
      </c>
      <c r="K37" s="419">
        <v>191163</v>
      </c>
      <c r="L37" s="419">
        <v>161180</v>
      </c>
      <c r="M37" s="392">
        <f t="shared" si="2"/>
        <v>19.560300009764397</v>
      </c>
      <c r="N37" s="420" t="s">
        <v>369</v>
      </c>
    </row>
    <row r="38" spans="2:14" x14ac:dyDescent="0.15">
      <c r="B38" s="390" t="s">
        <v>62</v>
      </c>
      <c r="C38" s="374">
        <v>1182707</v>
      </c>
      <c r="D38" s="374">
        <v>1166865</v>
      </c>
      <c r="E38" s="374">
        <v>165950</v>
      </c>
      <c r="F38" s="374">
        <f t="shared" si="0"/>
        <v>1000915</v>
      </c>
      <c r="G38" s="419">
        <v>3986544</v>
      </c>
      <c r="H38" s="419">
        <v>82610</v>
      </c>
      <c r="I38" s="419">
        <v>1831446</v>
      </c>
      <c r="J38" s="392">
        <f t="shared" si="1"/>
        <v>16.011232036935652</v>
      </c>
      <c r="K38" s="419">
        <v>75291</v>
      </c>
      <c r="L38" s="419">
        <v>75291</v>
      </c>
      <c r="M38" s="392">
        <f t="shared" si="2"/>
        <v>17.323978533244528</v>
      </c>
      <c r="N38" s="420" t="s">
        <v>369</v>
      </c>
    </row>
    <row r="39" spans="2:14" x14ac:dyDescent="0.15">
      <c r="B39" s="390" t="s">
        <v>63</v>
      </c>
      <c r="C39" s="374">
        <v>984105</v>
      </c>
      <c r="D39" s="374">
        <v>971378</v>
      </c>
      <c r="E39" s="374">
        <v>0</v>
      </c>
      <c r="F39" s="374">
        <f t="shared" si="0"/>
        <v>971378</v>
      </c>
      <c r="G39" s="419">
        <v>4563039</v>
      </c>
      <c r="H39" s="419">
        <v>86160</v>
      </c>
      <c r="I39" s="419">
        <v>1493268</v>
      </c>
      <c r="J39" s="392">
        <f t="shared" si="1"/>
        <v>14.827407097346178</v>
      </c>
      <c r="K39" s="419">
        <v>1094609</v>
      </c>
      <c r="L39" s="419">
        <v>234662</v>
      </c>
      <c r="M39" s="392">
        <f t="shared" si="2"/>
        <v>18.757997081143898</v>
      </c>
      <c r="N39" s="420"/>
    </row>
    <row r="40" spans="2:14" x14ac:dyDescent="0.15">
      <c r="B40" s="390" t="s">
        <v>64</v>
      </c>
      <c r="C40" s="374">
        <v>1108163</v>
      </c>
      <c r="D40" s="374">
        <v>1093322</v>
      </c>
      <c r="E40" s="374">
        <v>100000</v>
      </c>
      <c r="F40" s="374">
        <f t="shared" si="0"/>
        <v>993322</v>
      </c>
      <c r="G40" s="419">
        <v>3896688</v>
      </c>
      <c r="H40" s="419">
        <v>111277</v>
      </c>
      <c r="I40" s="419">
        <v>2082513</v>
      </c>
      <c r="J40" s="392">
        <f t="shared" si="1"/>
        <v>15.031636401562121</v>
      </c>
      <c r="K40" s="419">
        <v>379696</v>
      </c>
      <c r="L40" s="419">
        <v>311257</v>
      </c>
      <c r="M40" s="392">
        <f t="shared" si="2"/>
        <v>20.336016621892171</v>
      </c>
      <c r="N40" s="420" t="s">
        <v>369</v>
      </c>
    </row>
    <row r="41" spans="2:14" x14ac:dyDescent="0.15">
      <c r="B41" s="390" t="s">
        <v>65</v>
      </c>
      <c r="C41" s="374">
        <v>1091121</v>
      </c>
      <c r="D41" s="374">
        <v>1078332</v>
      </c>
      <c r="E41" s="398"/>
      <c r="F41" s="374">
        <v>1075227</v>
      </c>
      <c r="G41" s="419">
        <v>4528104</v>
      </c>
      <c r="H41" s="419">
        <v>125995</v>
      </c>
      <c r="I41" s="419">
        <f>1628347+139262</f>
        <v>1767609</v>
      </c>
      <c r="J41" s="392">
        <f t="shared" si="1"/>
        <v>15.385338519523906</v>
      </c>
      <c r="K41" s="419">
        <v>637105</v>
      </c>
      <c r="L41" s="419">
        <v>397358</v>
      </c>
      <c r="M41" s="392">
        <f t="shared" si="2"/>
        <v>21.825794955296175</v>
      </c>
      <c r="N41" s="422" t="s">
        <v>370</v>
      </c>
    </row>
    <row r="42" spans="2:14" x14ac:dyDescent="0.15">
      <c r="B42" s="390" t="s">
        <v>66</v>
      </c>
      <c r="C42" s="374">
        <v>1126090</v>
      </c>
      <c r="D42" s="374">
        <v>1113360</v>
      </c>
      <c r="E42" s="398"/>
      <c r="F42" s="374">
        <f t="shared" si="0"/>
        <v>1113360</v>
      </c>
      <c r="G42" s="419">
        <v>4429275</v>
      </c>
      <c r="H42" s="419">
        <v>141390</v>
      </c>
      <c r="I42" s="419">
        <f>1527836+277384</f>
        <v>1805220</v>
      </c>
      <c r="J42" s="392">
        <f t="shared" si="1"/>
        <v>15.951965377258393</v>
      </c>
      <c r="K42" s="419">
        <v>356365</v>
      </c>
      <c r="L42" s="419">
        <v>317627</v>
      </c>
      <c r="M42" s="392">
        <f t="shared" si="2"/>
        <v>21.164857654676887</v>
      </c>
      <c r="N42" s="420"/>
    </row>
    <row r="43" spans="2:14" x14ac:dyDescent="0.15">
      <c r="B43" s="390" t="s">
        <v>67</v>
      </c>
      <c r="C43" s="374">
        <v>1108988</v>
      </c>
      <c r="D43" s="374">
        <v>1094265</v>
      </c>
      <c r="E43" s="398"/>
      <c r="F43" s="374">
        <f t="shared" si="0"/>
        <v>1094265</v>
      </c>
      <c r="G43" s="419">
        <v>3457163</v>
      </c>
      <c r="H43" s="419">
        <v>132647</v>
      </c>
      <c r="I43" s="419">
        <f>1927265+588991</f>
        <v>2516256</v>
      </c>
      <c r="J43" s="392">
        <f t="shared" si="1"/>
        <v>16.463885253524705</v>
      </c>
      <c r="K43" s="419">
        <v>413279</v>
      </c>
      <c r="L43" s="419">
        <v>383258</v>
      </c>
      <c r="M43" s="392">
        <f t="shared" si="2"/>
        <v>23.025654827820706</v>
      </c>
      <c r="N43" s="420"/>
    </row>
    <row r="44" spans="2:14" x14ac:dyDescent="0.15">
      <c r="B44" s="390" t="s">
        <v>68</v>
      </c>
      <c r="C44" s="374">
        <v>1044516</v>
      </c>
      <c r="D44" s="374">
        <v>1035203</v>
      </c>
      <c r="E44" s="398"/>
      <c r="F44" s="374">
        <f t="shared" si="0"/>
        <v>1035203</v>
      </c>
      <c r="G44" s="419">
        <v>3501954</v>
      </c>
      <c r="H44" s="419">
        <v>119841</v>
      </c>
      <c r="I44" s="417">
        <f>1920934+408762</f>
        <v>2329696</v>
      </c>
      <c r="J44" s="392">
        <f t="shared" si="1"/>
        <v>16.02578097411871</v>
      </c>
      <c r="K44" s="419">
        <v>369929</v>
      </c>
      <c r="L44" s="419">
        <v>339982</v>
      </c>
      <c r="M44" s="392">
        <f t="shared" si="2"/>
        <v>21.978045834515825</v>
      </c>
      <c r="N44" s="420"/>
    </row>
    <row r="45" spans="2:14" x14ac:dyDescent="0.15">
      <c r="B45" s="390" t="s">
        <v>69</v>
      </c>
      <c r="C45" s="374">
        <v>1370564</v>
      </c>
      <c r="D45" s="374">
        <v>1351694</v>
      </c>
      <c r="E45" s="417">
        <v>369620</v>
      </c>
      <c r="F45" s="374">
        <f t="shared" si="0"/>
        <v>982074</v>
      </c>
      <c r="G45" s="419">
        <v>3767052</v>
      </c>
      <c r="H45" s="419">
        <v>135990</v>
      </c>
      <c r="I45" s="417">
        <f>1816121+313851</f>
        <v>2129972</v>
      </c>
      <c r="J45" s="392">
        <f t="shared" si="1"/>
        <v>14.686321934569385</v>
      </c>
      <c r="K45" s="419">
        <v>331076</v>
      </c>
      <c r="L45" s="419">
        <v>301129</v>
      </c>
      <c r="M45" s="392">
        <f t="shared" si="2"/>
        <v>19.913317644020154</v>
      </c>
      <c r="N45" s="420"/>
    </row>
    <row r="46" spans="2:14" x14ac:dyDescent="0.15">
      <c r="B46" s="390" t="s">
        <v>70</v>
      </c>
      <c r="C46" s="374">
        <v>953071</v>
      </c>
      <c r="D46" s="374">
        <v>937642</v>
      </c>
      <c r="E46" s="398"/>
      <c r="F46" s="374">
        <f t="shared" si="0"/>
        <v>937642</v>
      </c>
      <c r="G46" s="419">
        <v>4166884</v>
      </c>
      <c r="H46" s="419">
        <v>168860</v>
      </c>
      <c r="I46" s="417">
        <f>1446436+285818</f>
        <v>1732254</v>
      </c>
      <c r="J46" s="392">
        <f t="shared" si="1"/>
        <v>13.416137925594535</v>
      </c>
      <c r="K46" s="419">
        <v>290437</v>
      </c>
      <c r="L46" s="419">
        <v>290437</v>
      </c>
      <c r="M46" s="392">
        <f t="shared" si="2"/>
        <v>18.484600572607469</v>
      </c>
      <c r="N46" s="420"/>
    </row>
    <row r="47" spans="2:14" x14ac:dyDescent="0.15">
      <c r="B47" s="390" t="s">
        <v>71</v>
      </c>
      <c r="C47" s="374">
        <v>959602</v>
      </c>
      <c r="D47" s="374">
        <v>942414</v>
      </c>
      <c r="E47" s="398"/>
      <c r="F47" s="374">
        <f t="shared" si="0"/>
        <v>942414</v>
      </c>
      <c r="G47" s="419">
        <v>4389715</v>
      </c>
      <c r="H47" s="419">
        <v>213266</v>
      </c>
      <c r="I47" s="417">
        <f>1256116+259306</f>
        <v>1515422</v>
      </c>
      <c r="J47" s="392">
        <f t="shared" si="1"/>
        <v>12.810339517532988</v>
      </c>
      <c r="K47" s="419">
        <v>282941</v>
      </c>
      <c r="L47" s="419">
        <v>282941</v>
      </c>
      <c r="M47" s="392">
        <f t="shared" si="2"/>
        <v>17.781306006408087</v>
      </c>
      <c r="N47" s="420"/>
    </row>
    <row r="48" spans="2:14" x14ac:dyDescent="0.15">
      <c r="B48" s="390" t="s">
        <v>131</v>
      </c>
      <c r="C48" s="374">
        <v>951585</v>
      </c>
      <c r="D48" s="374">
        <v>934808</v>
      </c>
      <c r="E48" s="417">
        <v>17868</v>
      </c>
      <c r="F48" s="374">
        <f t="shared" si="0"/>
        <v>916940</v>
      </c>
      <c r="G48" s="419">
        <v>4416747</v>
      </c>
      <c r="H48" s="419">
        <v>247741</v>
      </c>
      <c r="I48" s="417">
        <f>1361216+242878</f>
        <v>1604094</v>
      </c>
      <c r="J48" s="392">
        <f t="shared" si="1"/>
        <v>11.59167518317715</v>
      </c>
      <c r="K48" s="419">
        <v>282514</v>
      </c>
      <c r="L48" s="419">
        <v>269381</v>
      </c>
      <c r="M48" s="392">
        <f t="shared" si="2"/>
        <v>16.257816424451335</v>
      </c>
      <c r="N48" s="420"/>
    </row>
    <row r="49" spans="2:15" x14ac:dyDescent="0.15">
      <c r="B49" s="390" t="s">
        <v>132</v>
      </c>
      <c r="C49" s="374">
        <v>926264</v>
      </c>
      <c r="D49" s="374">
        <v>907109</v>
      </c>
      <c r="E49" s="417">
        <v>826</v>
      </c>
      <c r="F49" s="374">
        <f t="shared" si="0"/>
        <v>906283</v>
      </c>
      <c r="G49" s="419">
        <v>4262412</v>
      </c>
      <c r="H49" s="419">
        <v>275438</v>
      </c>
      <c r="I49" s="417">
        <f>1439489+376947</f>
        <v>1816436</v>
      </c>
      <c r="J49" s="392">
        <f t="shared" si="1"/>
        <v>10.870246975485102</v>
      </c>
      <c r="K49" s="419">
        <v>257552</v>
      </c>
      <c r="L49" s="419">
        <v>244418</v>
      </c>
      <c r="M49" s="392">
        <f t="shared" si="2"/>
        <v>15.081874277364516</v>
      </c>
      <c r="N49" s="420"/>
    </row>
    <row r="50" spans="2:15" x14ac:dyDescent="0.15">
      <c r="B50" s="390" t="s">
        <v>161</v>
      </c>
      <c r="C50" s="374">
        <v>958436</v>
      </c>
      <c r="D50" s="374">
        <v>940623</v>
      </c>
      <c r="E50" s="417">
        <v>35000</v>
      </c>
      <c r="F50" s="374">
        <f t="shared" si="0"/>
        <v>905623</v>
      </c>
      <c r="G50" s="419">
        <v>3706575</v>
      </c>
      <c r="H50" s="419">
        <v>300725</v>
      </c>
      <c r="I50" s="417">
        <v>2495254</v>
      </c>
      <c r="J50" s="392">
        <f t="shared" si="1"/>
        <v>10.250590398000103</v>
      </c>
      <c r="K50" s="419">
        <v>247217</v>
      </c>
      <c r="L50" s="419">
        <v>234084</v>
      </c>
      <c r="M50" s="392">
        <f t="shared" si="2"/>
        <v>14.217373562641839</v>
      </c>
      <c r="N50" s="420"/>
    </row>
    <row r="51" spans="2:15" x14ac:dyDescent="0.15">
      <c r="B51" s="390" t="s">
        <v>218</v>
      </c>
      <c r="C51" s="374">
        <v>1060209</v>
      </c>
      <c r="D51" s="374">
        <v>1045234</v>
      </c>
      <c r="E51" s="417">
        <v>145834</v>
      </c>
      <c r="F51" s="374">
        <v>899400</v>
      </c>
      <c r="G51" s="419">
        <v>3513351</v>
      </c>
      <c r="H51" s="419">
        <v>320086</v>
      </c>
      <c r="I51" s="417">
        <v>2607868</v>
      </c>
      <c r="J51" s="392">
        <f t="shared" si="1"/>
        <v>9.9862216570452702</v>
      </c>
      <c r="K51" s="419">
        <v>223376</v>
      </c>
      <c r="L51" s="419">
        <v>210242</v>
      </c>
      <c r="M51" s="392">
        <f t="shared" si="2"/>
        <v>13.610375766251179</v>
      </c>
      <c r="N51" s="420"/>
    </row>
    <row r="52" spans="2:15" x14ac:dyDescent="0.15">
      <c r="B52" s="390" t="s">
        <v>135</v>
      </c>
      <c r="C52" s="374">
        <v>842517</v>
      </c>
      <c r="D52" s="374">
        <v>829965</v>
      </c>
      <c r="E52" s="417">
        <v>0</v>
      </c>
      <c r="F52" s="374">
        <f t="shared" si="0"/>
        <v>829965</v>
      </c>
      <c r="G52" s="419">
        <v>3670938</v>
      </c>
      <c r="H52" s="419">
        <v>337244</v>
      </c>
      <c r="I52" s="417">
        <v>2531738</v>
      </c>
      <c r="J52" s="392">
        <f t="shared" si="1"/>
        <v>8.4004213159405818</v>
      </c>
      <c r="K52" s="419">
        <v>210821</v>
      </c>
      <c r="L52" s="419">
        <v>202338</v>
      </c>
      <c r="M52" s="392">
        <f t="shared" si="2"/>
        <v>11.850090496318089</v>
      </c>
      <c r="N52" s="420"/>
    </row>
    <row r="53" spans="2:15" x14ac:dyDescent="0.15">
      <c r="B53" s="390" t="s">
        <v>136</v>
      </c>
      <c r="C53" s="374">
        <v>815883</v>
      </c>
      <c r="D53" s="374">
        <v>805738</v>
      </c>
      <c r="E53" s="417">
        <v>0</v>
      </c>
      <c r="F53" s="374">
        <f>D53-E53</f>
        <v>805738</v>
      </c>
      <c r="G53" s="419">
        <v>3830662</v>
      </c>
      <c r="H53" s="419">
        <v>359532</v>
      </c>
      <c r="I53" s="417">
        <v>2516813</v>
      </c>
      <c r="J53" s="392">
        <f>(F53-H53)/(G53-H53+I53)*100</f>
        <v>7.4517409400857684</v>
      </c>
      <c r="K53" s="419">
        <v>152643</v>
      </c>
      <c r="L53" s="419">
        <v>144160</v>
      </c>
      <c r="M53" s="392">
        <f>(F53-H53+L53)/(G53-H53+I53)*100</f>
        <v>9.8592454871397415</v>
      </c>
      <c r="N53" s="420"/>
      <c r="O53" s="302">
        <v>359532</v>
      </c>
    </row>
    <row r="54" spans="2:15" x14ac:dyDescent="0.15">
      <c r="B54" s="390" t="s">
        <v>371</v>
      </c>
      <c r="C54" s="374">
        <v>821806</v>
      </c>
      <c r="D54" s="374">
        <v>811661</v>
      </c>
      <c r="E54" s="417">
        <v>0</v>
      </c>
      <c r="F54" s="374">
        <f t="shared" ref="F54:F61" si="3">D54-E54</f>
        <v>811661</v>
      </c>
      <c r="G54" s="419">
        <v>3681065</v>
      </c>
      <c r="H54" s="419">
        <v>453415</v>
      </c>
      <c r="I54" s="417">
        <v>2580706</v>
      </c>
      <c r="J54" s="392">
        <f t="shared" ref="J54:J56" si="4">(F54-H54)/(G54-H54+I54)*100</f>
        <v>6.167769330943214</v>
      </c>
      <c r="K54" s="419">
        <v>132948</v>
      </c>
      <c r="L54" s="419">
        <v>124465</v>
      </c>
      <c r="M54" s="392">
        <f t="shared" ref="M54:M61" si="5">(F54-H54+L54)/(G54-H54+I54)*100</f>
        <v>8.3106304090176284</v>
      </c>
      <c r="N54" s="420"/>
      <c r="O54" s="302">
        <v>453415</v>
      </c>
    </row>
    <row r="55" spans="2:15" x14ac:dyDescent="0.15">
      <c r="B55" s="390" t="s">
        <v>372</v>
      </c>
      <c r="C55" s="374">
        <v>864365</v>
      </c>
      <c r="D55" s="374">
        <v>854219</v>
      </c>
      <c r="E55" s="417">
        <v>0</v>
      </c>
      <c r="F55" s="374">
        <f t="shared" si="3"/>
        <v>854219</v>
      </c>
      <c r="G55" s="419">
        <v>4039473</v>
      </c>
      <c r="H55" s="419">
        <v>399085</v>
      </c>
      <c r="I55" s="417">
        <v>2432111</v>
      </c>
      <c r="J55" s="392">
        <f t="shared" si="4"/>
        <v>7.4950032927135926</v>
      </c>
      <c r="K55" s="419">
        <v>135107</v>
      </c>
      <c r="L55" s="419">
        <v>113933</v>
      </c>
      <c r="M55" s="392">
        <f t="shared" si="5"/>
        <v>9.3712160347823854</v>
      </c>
      <c r="N55" s="420"/>
      <c r="O55" s="302">
        <v>399085</v>
      </c>
    </row>
    <row r="56" spans="2:15" x14ac:dyDescent="0.15">
      <c r="B56" s="390" t="s">
        <v>139</v>
      </c>
      <c r="C56" s="374">
        <v>911532</v>
      </c>
      <c r="D56" s="374">
        <v>901386</v>
      </c>
      <c r="E56" s="417">
        <v>0</v>
      </c>
      <c r="F56" s="374">
        <f t="shared" si="3"/>
        <v>901386</v>
      </c>
      <c r="G56" s="419">
        <v>4010937</v>
      </c>
      <c r="H56" s="419">
        <v>428478</v>
      </c>
      <c r="I56" s="417">
        <v>2387466</v>
      </c>
      <c r="J56" s="392">
        <f t="shared" si="4"/>
        <v>7.921506551589844</v>
      </c>
      <c r="K56" s="419">
        <v>122774</v>
      </c>
      <c r="L56" s="419">
        <v>101600</v>
      </c>
      <c r="M56" s="392">
        <f t="shared" si="5"/>
        <v>9.6233704778535731</v>
      </c>
      <c r="N56" s="420"/>
      <c r="O56" s="302">
        <v>457438</v>
      </c>
    </row>
    <row r="57" spans="2:15" x14ac:dyDescent="0.15">
      <c r="B57" s="390" t="s">
        <v>140</v>
      </c>
      <c r="C57" s="374">
        <f>長期債資料!J57</f>
        <v>933416</v>
      </c>
      <c r="D57" s="374">
        <v>923270</v>
      </c>
      <c r="E57" s="417">
        <v>0</v>
      </c>
      <c r="F57" s="374">
        <f t="shared" si="3"/>
        <v>923270</v>
      </c>
      <c r="G57" s="419">
        <v>4049841</v>
      </c>
      <c r="H57" s="419">
        <v>482258</v>
      </c>
      <c r="I57" s="417">
        <v>2309156</v>
      </c>
      <c r="J57" s="392">
        <f>(F57-H57)/(G57-H57+I57)*100</f>
        <v>7.5043659417238038</v>
      </c>
      <c r="K57" s="419">
        <v>75042</v>
      </c>
      <c r="L57" s="419">
        <v>44839</v>
      </c>
      <c r="M57" s="392">
        <f t="shared" si="5"/>
        <v>8.2673571176123346</v>
      </c>
      <c r="N57" s="420"/>
      <c r="O57" s="302">
        <v>482258</v>
      </c>
    </row>
    <row r="58" spans="2:15" x14ac:dyDescent="0.15">
      <c r="B58" s="390" t="s">
        <v>141</v>
      </c>
      <c r="C58" s="374">
        <v>914968</v>
      </c>
      <c r="D58" s="374">
        <v>905491</v>
      </c>
      <c r="E58" s="417">
        <v>0</v>
      </c>
      <c r="F58" s="374">
        <f t="shared" si="3"/>
        <v>905491</v>
      </c>
      <c r="G58" s="419">
        <v>3998972</v>
      </c>
      <c r="H58" s="419">
        <v>498937</v>
      </c>
      <c r="I58" s="417">
        <v>2349211</v>
      </c>
      <c r="J58" s="392">
        <f>(F58-H58)/(G58-H58+I58)*100</f>
        <v>6.9505368726157188</v>
      </c>
      <c r="K58" s="419">
        <v>54086</v>
      </c>
      <c r="L58" s="419">
        <v>32077</v>
      </c>
      <c r="M58" s="392">
        <f t="shared" si="5"/>
        <v>7.4989323410230995</v>
      </c>
      <c r="N58" s="420"/>
    </row>
    <row r="59" spans="2:15" x14ac:dyDescent="0.15">
      <c r="B59" s="390" t="s">
        <v>86</v>
      </c>
      <c r="C59" s="374">
        <v>879662</v>
      </c>
      <c r="D59" s="374">
        <v>871045</v>
      </c>
      <c r="E59" s="417">
        <v>0</v>
      </c>
      <c r="F59" s="374">
        <f t="shared" si="3"/>
        <v>871045</v>
      </c>
      <c r="G59" s="419">
        <v>4167833</v>
      </c>
      <c r="H59" s="419">
        <v>487187</v>
      </c>
      <c r="I59" s="417">
        <v>2236757</v>
      </c>
      <c r="J59" s="392">
        <f>(F59-H59)/(G59-H59+I59)*100</f>
        <v>6.4869335416229053</v>
      </c>
      <c r="K59" s="419">
        <v>40511</v>
      </c>
      <c r="L59" s="419">
        <v>17546</v>
      </c>
      <c r="M59" s="392">
        <f t="shared" si="5"/>
        <v>6.7834487527721201</v>
      </c>
      <c r="N59" s="420"/>
    </row>
    <row r="60" spans="2:15" x14ac:dyDescent="0.15">
      <c r="B60" s="390" t="s">
        <v>87</v>
      </c>
      <c r="C60" s="374">
        <v>867096</v>
      </c>
      <c r="D60" s="374">
        <v>864040</v>
      </c>
      <c r="E60" s="417">
        <v>0</v>
      </c>
      <c r="F60" s="374">
        <f t="shared" si="3"/>
        <v>864040</v>
      </c>
      <c r="G60" s="419">
        <v>4241770</v>
      </c>
      <c r="H60" s="419">
        <v>509841</v>
      </c>
      <c r="I60" s="417">
        <v>2617972</v>
      </c>
      <c r="J60" s="392">
        <f>(F60-H60)/(G60-H60+I60)*100</f>
        <v>5.5780239723422467</v>
      </c>
      <c r="K60" s="419">
        <v>33302</v>
      </c>
      <c r="L60" s="419">
        <v>10295</v>
      </c>
      <c r="M60" s="392">
        <f t="shared" si="5"/>
        <v>5.7401524842670772</v>
      </c>
      <c r="N60" s="420"/>
    </row>
    <row r="61" spans="2:15" x14ac:dyDescent="0.15">
      <c r="B61" s="411" t="s">
        <v>89</v>
      </c>
      <c r="C61" s="386">
        <v>916292</v>
      </c>
      <c r="D61" s="386">
        <v>910722</v>
      </c>
      <c r="E61" s="418">
        <v>0</v>
      </c>
      <c r="F61" s="386">
        <f t="shared" si="3"/>
        <v>910722</v>
      </c>
      <c r="G61" s="423">
        <v>4036943</v>
      </c>
      <c r="H61" s="423">
        <v>516765</v>
      </c>
      <c r="I61" s="418">
        <v>3115478</v>
      </c>
      <c r="J61" s="424">
        <f>(F61-H61)/(G61-H61+I61)*100</f>
        <v>5.9369714162397811</v>
      </c>
      <c r="K61" s="423">
        <v>69264</v>
      </c>
      <c r="L61" s="423">
        <v>7840</v>
      </c>
      <c r="M61" s="424">
        <f t="shared" si="5"/>
        <v>6.0551210008475422</v>
      </c>
      <c r="N61" s="425"/>
    </row>
  </sheetData>
  <phoneticPr fontId="3"/>
  <printOptions horizontalCentered="1"/>
  <pageMargins left="0.39370078740157483" right="0.39370078740157483" top="0.98425196850393704" bottom="0.78740157480314965" header="0.51181102362204722" footer="0.51181102362204722"/>
  <pageSetup paperSize="9" scale="92" fitToHeight="0" orientation="landscape" r:id="rId1"/>
  <headerFooter alignWithMargins="0">
    <oddFooter>&amp;P / &amp;N ページ</oddFooter>
  </headerFooter>
  <rowBreaks count="1" manualBreakCount="1">
    <brk id="46" min="1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2"/>
  <sheetViews>
    <sheetView view="pageBreakPreview" zoomScale="115" zoomScaleNormal="160" zoomScaleSheetLayoutView="115" workbookViewId="0">
      <pane xSplit="2" ySplit="4" topLeftCell="C26" activePane="bottomRight" state="frozen"/>
      <selection activeCell="M19" sqref="M19"/>
      <selection pane="topRight" activeCell="M19" sqref="M19"/>
      <selection pane="bottomLeft" activeCell="M19" sqref="M19"/>
      <selection pane="bottomRight" activeCell="B1" sqref="B1"/>
    </sheetView>
  </sheetViews>
  <sheetFormatPr defaultColWidth="9.375" defaultRowHeight="12" x14ac:dyDescent="0.15"/>
  <cols>
    <col min="1" max="1" width="5.875" style="2" customWidth="1"/>
    <col min="2" max="4" width="9.75" style="2" customWidth="1"/>
    <col min="5" max="13" width="8.25" style="2" customWidth="1"/>
    <col min="14" max="14" width="9.75" style="2" customWidth="1"/>
    <col min="15" max="17" width="8.25" style="2" customWidth="1"/>
    <col min="18" max="18" width="10.25" style="2" customWidth="1"/>
    <col min="19" max="20" width="11.125" style="2" customWidth="1"/>
    <col min="21" max="21" width="13.375" style="2" bestFit="1" customWidth="1"/>
    <col min="22" max="16384" width="9.375" style="2"/>
  </cols>
  <sheetData>
    <row r="1" spans="1:21" ht="20.45" customHeight="1" x14ac:dyDescent="0.15">
      <c r="B1" s="1" t="s">
        <v>93</v>
      </c>
    </row>
    <row r="2" spans="1:21" s="9" customFormat="1" x14ac:dyDescent="0.15">
      <c r="B2" s="65" t="s">
        <v>94</v>
      </c>
      <c r="C2" s="65" t="s">
        <v>95</v>
      </c>
      <c r="D2" s="65" t="s">
        <v>96</v>
      </c>
      <c r="E2" s="65" t="s">
        <v>97</v>
      </c>
      <c r="F2" s="65" t="s">
        <v>98</v>
      </c>
      <c r="G2" s="66" t="s">
        <v>99</v>
      </c>
      <c r="H2" s="65" t="s">
        <v>100</v>
      </c>
      <c r="I2" s="65" t="s">
        <v>101</v>
      </c>
      <c r="J2" s="65" t="s">
        <v>102</v>
      </c>
      <c r="K2" s="65" t="s">
        <v>103</v>
      </c>
      <c r="L2" s="65" t="s">
        <v>104</v>
      </c>
      <c r="M2" s="65" t="s">
        <v>105</v>
      </c>
      <c r="N2" s="65" t="s">
        <v>106</v>
      </c>
      <c r="O2" s="65" t="s">
        <v>107</v>
      </c>
      <c r="P2" s="65" t="s">
        <v>108</v>
      </c>
      <c r="Q2" s="65" t="s">
        <v>109</v>
      </c>
      <c r="R2" s="65" t="s">
        <v>10</v>
      </c>
    </row>
    <row r="3" spans="1:21" s="9" customFormat="1" x14ac:dyDescent="0.15">
      <c r="B3" s="67"/>
      <c r="C3" s="67"/>
      <c r="D3" s="67"/>
      <c r="E3" s="67"/>
      <c r="F3" s="67"/>
      <c r="G3" s="68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21" s="9" customFormat="1" x14ac:dyDescent="0.15">
      <c r="B4" s="69"/>
      <c r="C4" s="69"/>
      <c r="D4" s="69"/>
      <c r="E4" s="69"/>
      <c r="F4" s="69"/>
      <c r="G4" s="70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9" t="s">
        <v>110</v>
      </c>
    </row>
    <row r="5" spans="1:21" x14ac:dyDescent="0.15">
      <c r="B5" s="71" t="s">
        <v>25</v>
      </c>
      <c r="C5" s="72">
        <v>75979</v>
      </c>
      <c r="D5" s="72">
        <v>85026</v>
      </c>
      <c r="E5" s="73" t="s">
        <v>26</v>
      </c>
      <c r="F5" s="73" t="s">
        <v>26</v>
      </c>
      <c r="G5" s="73"/>
      <c r="H5" s="72">
        <v>35614</v>
      </c>
      <c r="I5" s="72"/>
      <c r="J5" s="72">
        <v>8766</v>
      </c>
      <c r="K5" s="72">
        <v>20622</v>
      </c>
      <c r="L5" s="72">
        <v>27853</v>
      </c>
      <c r="M5" s="72">
        <v>11134</v>
      </c>
      <c r="N5" s="72">
        <v>24700</v>
      </c>
      <c r="O5" s="72" t="s">
        <v>111</v>
      </c>
      <c r="P5" s="72" t="s">
        <v>111</v>
      </c>
      <c r="Q5" s="72">
        <v>7696</v>
      </c>
      <c r="R5" s="74">
        <v>297395</v>
      </c>
      <c r="S5" s="75">
        <f>R5-SUM(C5:Q5)</f>
        <v>5</v>
      </c>
      <c r="T5" s="9">
        <f>目的別内訳!Q5</f>
        <v>297219</v>
      </c>
    </row>
    <row r="6" spans="1:21" x14ac:dyDescent="0.15">
      <c r="B6" s="76" t="s">
        <v>28</v>
      </c>
      <c r="C6" s="77">
        <v>80970</v>
      </c>
      <c r="D6" s="77">
        <v>96294</v>
      </c>
      <c r="E6" s="78" t="s">
        <v>26</v>
      </c>
      <c r="F6" s="78" t="s">
        <v>26</v>
      </c>
      <c r="G6" s="78"/>
      <c r="H6" s="77">
        <v>13758</v>
      </c>
      <c r="I6" s="77"/>
      <c r="J6" s="77">
        <v>10034</v>
      </c>
      <c r="K6" s="77">
        <v>41750</v>
      </c>
      <c r="L6" s="77">
        <v>16246</v>
      </c>
      <c r="M6" s="77">
        <v>33347</v>
      </c>
      <c r="N6" s="77">
        <v>60700</v>
      </c>
      <c r="O6" s="77" t="s">
        <v>111</v>
      </c>
      <c r="P6" s="77">
        <v>176</v>
      </c>
      <c r="Q6" s="77">
        <v>3401</v>
      </c>
      <c r="R6" s="79">
        <v>356676</v>
      </c>
      <c r="S6" s="75">
        <f t="shared" ref="S6:S41" si="0">R6-SUM(C6:Q6)</f>
        <v>0</v>
      </c>
      <c r="T6" s="9"/>
      <c r="U6" s="80"/>
    </row>
    <row r="7" spans="1:21" x14ac:dyDescent="0.15">
      <c r="B7" s="76" t="s">
        <v>29</v>
      </c>
      <c r="C7" s="77">
        <v>100654</v>
      </c>
      <c r="D7" s="77">
        <v>114887</v>
      </c>
      <c r="E7" s="78" t="s">
        <v>26</v>
      </c>
      <c r="F7" s="78" t="s">
        <v>26</v>
      </c>
      <c r="G7" s="78"/>
      <c r="H7" s="77">
        <v>18559</v>
      </c>
      <c r="I7" s="77"/>
      <c r="J7" s="77">
        <v>18857</v>
      </c>
      <c r="K7" s="77">
        <v>46340</v>
      </c>
      <c r="L7" s="77">
        <v>17707</v>
      </c>
      <c r="M7" s="77">
        <v>1</v>
      </c>
      <c r="N7" s="77">
        <v>54300</v>
      </c>
      <c r="O7" s="77" t="s">
        <v>111</v>
      </c>
      <c r="P7" s="77">
        <v>488</v>
      </c>
      <c r="Q7" s="77">
        <v>7000</v>
      </c>
      <c r="R7" s="79">
        <v>390082</v>
      </c>
      <c r="S7" s="75">
        <f t="shared" si="0"/>
        <v>11289</v>
      </c>
      <c r="T7" s="9"/>
      <c r="U7" s="80"/>
    </row>
    <row r="8" spans="1:21" ht="18.75" x14ac:dyDescent="0.4">
      <c r="A8" s="2">
        <v>1968</v>
      </c>
      <c r="B8" s="76" t="s">
        <v>30</v>
      </c>
      <c r="C8" s="77">
        <v>106032</v>
      </c>
      <c r="D8" s="77">
        <v>133189</v>
      </c>
      <c r="E8" s="78" t="s">
        <v>26</v>
      </c>
      <c r="F8" s="77">
        <v>7095</v>
      </c>
      <c r="G8" s="81" t="s">
        <v>27</v>
      </c>
      <c r="H8" s="77">
        <v>11248</v>
      </c>
      <c r="I8" s="77">
        <v>1898</v>
      </c>
      <c r="J8" s="77">
        <v>27932</v>
      </c>
      <c r="K8" s="77">
        <v>50434</v>
      </c>
      <c r="L8" s="77">
        <v>18455</v>
      </c>
      <c r="M8" s="77">
        <v>3</v>
      </c>
      <c r="N8" s="77">
        <v>26600</v>
      </c>
      <c r="O8" s="78" t="s">
        <v>27</v>
      </c>
      <c r="P8" s="77">
        <v>539</v>
      </c>
      <c r="Q8" s="77">
        <v>6508</v>
      </c>
      <c r="R8" s="79">
        <v>403529</v>
      </c>
      <c r="S8" s="75">
        <f t="shared" si="0"/>
        <v>13596</v>
      </c>
      <c r="T8" s="9"/>
      <c r="U8" s="80"/>
    </row>
    <row r="9" spans="1:21" ht="18.75" x14ac:dyDescent="0.4">
      <c r="A9" s="2">
        <v>1969</v>
      </c>
      <c r="B9" s="76" t="s">
        <v>31</v>
      </c>
      <c r="C9" s="77">
        <v>119850</v>
      </c>
      <c r="D9" s="77">
        <v>178100</v>
      </c>
      <c r="E9" s="78" t="s">
        <v>26</v>
      </c>
      <c r="F9" s="77">
        <v>11398</v>
      </c>
      <c r="G9" s="81" t="s">
        <v>27</v>
      </c>
      <c r="H9" s="77">
        <v>17295</v>
      </c>
      <c r="I9" s="77">
        <v>1571</v>
      </c>
      <c r="J9" s="77">
        <f>13448+12977</f>
        <v>26425</v>
      </c>
      <c r="K9" s="77">
        <v>39285</v>
      </c>
      <c r="L9" s="77">
        <v>37985</v>
      </c>
      <c r="M9" s="77">
        <v>5</v>
      </c>
      <c r="N9" s="77">
        <v>40500</v>
      </c>
      <c r="O9" s="77">
        <v>29</v>
      </c>
      <c r="P9" s="77">
        <v>1517</v>
      </c>
      <c r="Q9" s="77">
        <v>4623</v>
      </c>
      <c r="R9" s="79">
        <v>506777</v>
      </c>
      <c r="S9" s="75">
        <f t="shared" si="0"/>
        <v>28194</v>
      </c>
      <c r="T9" s="9"/>
      <c r="U9" s="80"/>
    </row>
    <row r="10" spans="1:21" ht="18.75" x14ac:dyDescent="0.4">
      <c r="A10" s="2">
        <v>1970</v>
      </c>
      <c r="B10" s="76" t="s">
        <v>32</v>
      </c>
      <c r="C10" s="77">
        <v>144929</v>
      </c>
      <c r="D10" s="77">
        <v>223824</v>
      </c>
      <c r="E10" s="78" t="s">
        <v>26</v>
      </c>
      <c r="F10" s="77">
        <v>13800</v>
      </c>
      <c r="G10" s="81" t="s">
        <v>27</v>
      </c>
      <c r="H10" s="77">
        <v>35723</v>
      </c>
      <c r="I10" s="77">
        <v>2226</v>
      </c>
      <c r="J10" s="77">
        <v>28399</v>
      </c>
      <c r="K10" s="77">
        <v>43601</v>
      </c>
      <c r="L10" s="77">
        <v>45629</v>
      </c>
      <c r="M10" s="77">
        <v>7</v>
      </c>
      <c r="N10" s="77">
        <v>45700</v>
      </c>
      <c r="O10" s="78" t="s">
        <v>27</v>
      </c>
      <c r="P10" s="77">
        <v>6474</v>
      </c>
      <c r="Q10" s="77">
        <v>8849</v>
      </c>
      <c r="R10" s="79">
        <v>623527</v>
      </c>
      <c r="S10" s="75">
        <f t="shared" si="0"/>
        <v>24366</v>
      </c>
      <c r="T10" s="9"/>
      <c r="U10" s="80"/>
    </row>
    <row r="11" spans="1:21" ht="18.75" x14ac:dyDescent="0.4">
      <c r="A11" s="2">
        <v>1971</v>
      </c>
      <c r="B11" s="76" t="s">
        <v>33</v>
      </c>
      <c r="C11" s="77">
        <v>161336</v>
      </c>
      <c r="D11" s="77">
        <v>293249</v>
      </c>
      <c r="E11" s="77">
        <v>2383</v>
      </c>
      <c r="F11" s="77">
        <f>11814+574</f>
        <v>12388</v>
      </c>
      <c r="G11" s="81" t="s">
        <v>27</v>
      </c>
      <c r="H11" s="77">
        <v>31939</v>
      </c>
      <c r="I11" s="77">
        <v>1069</v>
      </c>
      <c r="J11" s="77">
        <f>17889+13678</f>
        <v>31567</v>
      </c>
      <c r="K11" s="77">
        <v>84969</v>
      </c>
      <c r="L11" s="77">
        <v>92675</v>
      </c>
      <c r="M11" s="77">
        <v>9</v>
      </c>
      <c r="N11" s="77">
        <v>178400</v>
      </c>
      <c r="O11" s="78" t="s">
        <v>27</v>
      </c>
      <c r="P11" s="77">
        <v>2525</v>
      </c>
      <c r="Q11" s="77">
        <v>11327</v>
      </c>
      <c r="R11" s="79">
        <v>983364</v>
      </c>
      <c r="S11" s="75">
        <f t="shared" si="0"/>
        <v>79528</v>
      </c>
      <c r="T11" s="9"/>
      <c r="U11" s="80"/>
    </row>
    <row r="12" spans="1:21" ht="18.75" x14ac:dyDescent="0.4">
      <c r="A12" s="2">
        <v>1972</v>
      </c>
      <c r="B12" s="76" t="s">
        <v>34</v>
      </c>
      <c r="C12" s="77">
        <v>192137</v>
      </c>
      <c r="D12" s="77">
        <v>338031</v>
      </c>
      <c r="E12" s="77">
        <v>11067</v>
      </c>
      <c r="F12" s="77">
        <f>14154+1418</f>
        <v>15572</v>
      </c>
      <c r="G12" s="81" t="s">
        <v>27</v>
      </c>
      <c r="H12" s="77">
        <v>58750</v>
      </c>
      <c r="I12" s="77">
        <v>1459</v>
      </c>
      <c r="J12" s="77">
        <v>34448</v>
      </c>
      <c r="K12" s="77">
        <v>120934</v>
      </c>
      <c r="L12" s="77">
        <v>88887</v>
      </c>
      <c r="M12" s="77">
        <v>11</v>
      </c>
      <c r="N12" s="77">
        <v>328500</v>
      </c>
      <c r="O12" s="78" t="s">
        <v>27</v>
      </c>
      <c r="P12" s="77">
        <v>1309</v>
      </c>
      <c r="Q12" s="77">
        <v>16341</v>
      </c>
      <c r="R12" s="79">
        <v>1318979</v>
      </c>
      <c r="S12" s="75">
        <f t="shared" si="0"/>
        <v>111533</v>
      </c>
      <c r="T12" s="9"/>
      <c r="U12" s="80"/>
    </row>
    <row r="13" spans="1:21" ht="18.75" x14ac:dyDescent="0.4">
      <c r="A13" s="2">
        <v>1973</v>
      </c>
      <c r="B13" s="76" t="s">
        <v>35</v>
      </c>
      <c r="C13" s="77">
        <v>243353</v>
      </c>
      <c r="D13" s="77">
        <v>417500</v>
      </c>
      <c r="E13" s="77">
        <v>11718</v>
      </c>
      <c r="F13" s="77">
        <f>15346+1696</f>
        <v>17042</v>
      </c>
      <c r="G13" s="81" t="s">
        <v>27</v>
      </c>
      <c r="H13" s="77">
        <v>52284</v>
      </c>
      <c r="I13" s="77">
        <v>141</v>
      </c>
      <c r="J13" s="77">
        <v>43989</v>
      </c>
      <c r="K13" s="77">
        <v>138621</v>
      </c>
      <c r="L13" s="77">
        <v>89711</v>
      </c>
      <c r="M13" s="77">
        <v>13</v>
      </c>
      <c r="N13" s="77">
        <v>147600</v>
      </c>
      <c r="O13" s="78" t="s">
        <v>27</v>
      </c>
      <c r="P13" s="77">
        <v>2978</v>
      </c>
      <c r="Q13" s="77">
        <v>11299</v>
      </c>
      <c r="R13" s="79">
        <v>1283527</v>
      </c>
      <c r="S13" s="75">
        <f t="shared" si="0"/>
        <v>107278</v>
      </c>
      <c r="T13" s="9"/>
      <c r="U13" s="80"/>
    </row>
    <row r="14" spans="1:21" ht="18.75" x14ac:dyDescent="0.4">
      <c r="A14" s="2">
        <v>1974</v>
      </c>
      <c r="B14" s="76" t="s">
        <v>36</v>
      </c>
      <c r="C14" s="77">
        <v>361484</v>
      </c>
      <c r="D14" s="77">
        <v>517426</v>
      </c>
      <c r="E14" s="77">
        <v>20808</v>
      </c>
      <c r="F14" s="77">
        <f>23135+1554</f>
        <v>24689</v>
      </c>
      <c r="G14" s="81" t="s">
        <v>27</v>
      </c>
      <c r="H14" s="77">
        <v>94819</v>
      </c>
      <c r="I14" s="77">
        <v>15061</v>
      </c>
      <c r="J14" s="77">
        <v>50761</v>
      </c>
      <c r="K14" s="77">
        <v>248790</v>
      </c>
      <c r="L14" s="77">
        <v>152725</v>
      </c>
      <c r="M14" s="77">
        <v>15</v>
      </c>
      <c r="N14" s="77">
        <v>249900</v>
      </c>
      <c r="O14" s="77">
        <v>34642</v>
      </c>
      <c r="P14" s="77">
        <v>3484</v>
      </c>
      <c r="Q14" s="77">
        <v>8926</v>
      </c>
      <c r="R14" s="79">
        <v>1876983</v>
      </c>
      <c r="S14" s="75">
        <f t="shared" si="0"/>
        <v>93453</v>
      </c>
      <c r="T14" s="9"/>
      <c r="U14" s="80"/>
    </row>
    <row r="15" spans="1:21" ht="18.75" x14ac:dyDescent="0.4">
      <c r="A15" s="2">
        <v>1975</v>
      </c>
      <c r="B15" s="76" t="s">
        <v>37</v>
      </c>
      <c r="C15" s="77">
        <v>411540</v>
      </c>
      <c r="D15" s="77">
        <v>492158</v>
      </c>
      <c r="E15" s="77">
        <v>23530</v>
      </c>
      <c r="F15" s="77">
        <f>29627+2060</f>
        <v>31687</v>
      </c>
      <c r="G15" s="81" t="s">
        <v>27</v>
      </c>
      <c r="H15" s="77">
        <v>107267</v>
      </c>
      <c r="I15" s="77">
        <v>2844</v>
      </c>
      <c r="J15" s="77">
        <f>41459+22006</f>
        <v>63465</v>
      </c>
      <c r="K15" s="77">
        <v>227110</v>
      </c>
      <c r="L15" s="77">
        <v>153251</v>
      </c>
      <c r="M15" s="77">
        <v>16</v>
      </c>
      <c r="N15" s="77">
        <v>143600</v>
      </c>
      <c r="O15" s="77">
        <v>11704</v>
      </c>
      <c r="P15" s="77">
        <v>3760</v>
      </c>
      <c r="Q15" s="77">
        <v>10691</v>
      </c>
      <c r="R15" s="79">
        <v>1751585</v>
      </c>
      <c r="S15" s="75">
        <f t="shared" si="0"/>
        <v>68962</v>
      </c>
      <c r="T15" s="9"/>
      <c r="U15" s="80"/>
    </row>
    <row r="16" spans="1:21" ht="18.75" x14ac:dyDescent="0.4">
      <c r="A16" s="2">
        <v>1976</v>
      </c>
      <c r="B16" s="76" t="s">
        <v>38</v>
      </c>
      <c r="C16" s="77">
        <v>472404</v>
      </c>
      <c r="D16" s="77">
        <v>572169</v>
      </c>
      <c r="E16" s="77">
        <v>46492</v>
      </c>
      <c r="F16" s="77">
        <f>31275+2308</f>
        <v>33583</v>
      </c>
      <c r="G16" s="81" t="s">
        <v>27</v>
      </c>
      <c r="H16" s="77">
        <v>123655</v>
      </c>
      <c r="I16" s="77">
        <v>19492</v>
      </c>
      <c r="J16" s="77">
        <v>84613</v>
      </c>
      <c r="K16" s="77">
        <v>247815</v>
      </c>
      <c r="L16" s="77">
        <v>252288</v>
      </c>
      <c r="M16" s="77">
        <v>17</v>
      </c>
      <c r="N16" s="77">
        <v>252200</v>
      </c>
      <c r="O16" s="77">
        <v>6350</v>
      </c>
      <c r="P16" s="77">
        <v>6872</v>
      </c>
      <c r="Q16" s="77">
        <v>27996</v>
      </c>
      <c r="R16" s="79">
        <v>2153197</v>
      </c>
      <c r="S16" s="75">
        <f t="shared" si="0"/>
        <v>7251</v>
      </c>
      <c r="T16" s="9"/>
      <c r="U16" s="80"/>
    </row>
    <row r="17" spans="1:21" ht="18.75" x14ac:dyDescent="0.4">
      <c r="A17" s="2">
        <v>1977</v>
      </c>
      <c r="B17" s="76" t="s">
        <v>39</v>
      </c>
      <c r="C17" s="77">
        <v>636703</v>
      </c>
      <c r="D17" s="77">
        <v>658310</v>
      </c>
      <c r="E17" s="77">
        <v>52707</v>
      </c>
      <c r="F17" s="77">
        <f>35640+3062</f>
        <v>38702</v>
      </c>
      <c r="G17" s="81" t="s">
        <v>27</v>
      </c>
      <c r="H17" s="77">
        <v>131663</v>
      </c>
      <c r="I17" s="77">
        <v>17616</v>
      </c>
      <c r="J17" s="77">
        <v>95488</v>
      </c>
      <c r="K17" s="77">
        <v>330406</v>
      </c>
      <c r="L17" s="77">
        <v>190632</v>
      </c>
      <c r="M17" s="77">
        <v>19</v>
      </c>
      <c r="N17" s="77">
        <v>282100</v>
      </c>
      <c r="O17" s="77">
        <v>5008</v>
      </c>
      <c r="P17" s="77">
        <v>31691</v>
      </c>
      <c r="Q17" s="77">
        <v>20061</v>
      </c>
      <c r="R17" s="79">
        <v>2621661</v>
      </c>
      <c r="S17" s="75">
        <f t="shared" si="0"/>
        <v>130555</v>
      </c>
      <c r="T17" s="9"/>
      <c r="U17" s="80"/>
    </row>
    <row r="18" spans="1:21" ht="18.75" x14ac:dyDescent="0.4">
      <c r="A18" s="2">
        <v>1978</v>
      </c>
      <c r="B18" s="76" t="s">
        <v>40</v>
      </c>
      <c r="C18" s="77">
        <v>780243</v>
      </c>
      <c r="D18" s="77">
        <v>681832</v>
      </c>
      <c r="E18" s="77">
        <v>53090</v>
      </c>
      <c r="F18" s="77">
        <f>44130+2032</f>
        <v>46162</v>
      </c>
      <c r="G18" s="81" t="s">
        <v>27</v>
      </c>
      <c r="H18" s="77">
        <v>214179</v>
      </c>
      <c r="I18" s="77">
        <v>10205</v>
      </c>
      <c r="J18" s="77">
        <v>109605</v>
      </c>
      <c r="K18" s="77">
        <v>333114</v>
      </c>
      <c r="L18" s="77">
        <v>413864</v>
      </c>
      <c r="M18" s="77">
        <v>21</v>
      </c>
      <c r="N18" s="77">
        <v>378000</v>
      </c>
      <c r="O18" s="77">
        <v>54359</v>
      </c>
      <c r="P18" s="77">
        <v>35251</v>
      </c>
      <c r="Q18" s="77">
        <v>15920</v>
      </c>
      <c r="R18" s="79">
        <v>3191464</v>
      </c>
      <c r="S18" s="75">
        <f t="shared" si="0"/>
        <v>65619</v>
      </c>
      <c r="T18" s="9"/>
      <c r="U18" s="80"/>
    </row>
    <row r="19" spans="1:21" ht="18.75" x14ac:dyDescent="0.4">
      <c r="A19" s="2">
        <v>1979</v>
      </c>
      <c r="B19" s="76" t="s">
        <v>41</v>
      </c>
      <c r="C19" s="77">
        <v>832788</v>
      </c>
      <c r="D19" s="77">
        <v>692518</v>
      </c>
      <c r="E19" s="77">
        <v>75145</v>
      </c>
      <c r="F19" s="77">
        <f>46765+1854</f>
        <v>48619</v>
      </c>
      <c r="G19" s="81" t="s">
        <v>27</v>
      </c>
      <c r="H19" s="77">
        <v>67088</v>
      </c>
      <c r="I19" s="77">
        <v>21518</v>
      </c>
      <c r="J19" s="77">
        <v>129016</v>
      </c>
      <c r="K19" s="77">
        <v>359789</v>
      </c>
      <c r="L19" s="77">
        <v>290252</v>
      </c>
      <c r="M19" s="77">
        <v>100171</v>
      </c>
      <c r="N19" s="77">
        <v>494700</v>
      </c>
      <c r="O19" s="77">
        <v>30151</v>
      </c>
      <c r="P19" s="78" t="s">
        <v>27</v>
      </c>
      <c r="Q19" s="77">
        <v>35218</v>
      </c>
      <c r="R19" s="79">
        <v>3176973</v>
      </c>
      <c r="S19" s="75">
        <f t="shared" si="0"/>
        <v>0</v>
      </c>
      <c r="T19" s="9"/>
      <c r="U19" s="80"/>
    </row>
    <row r="20" spans="1:21" ht="18.75" x14ac:dyDescent="0.4">
      <c r="A20" s="2">
        <v>1980</v>
      </c>
      <c r="B20" s="76" t="s">
        <v>42</v>
      </c>
      <c r="C20" s="77">
        <v>933393</v>
      </c>
      <c r="D20" s="77">
        <v>774808</v>
      </c>
      <c r="E20" s="77">
        <v>77496</v>
      </c>
      <c r="F20" s="77">
        <f>43251+1351</f>
        <v>44602</v>
      </c>
      <c r="G20" s="81" t="s">
        <v>27</v>
      </c>
      <c r="H20" s="77">
        <v>62192</v>
      </c>
      <c r="I20" s="77">
        <v>40220</v>
      </c>
      <c r="J20" s="77">
        <v>157741</v>
      </c>
      <c r="K20" s="77">
        <v>285661</v>
      </c>
      <c r="L20" s="77">
        <v>235449</v>
      </c>
      <c r="M20" s="77">
        <v>69513</v>
      </c>
      <c r="N20" s="77">
        <v>114000</v>
      </c>
      <c r="O20" s="77">
        <v>44130</v>
      </c>
      <c r="P20" s="78" t="s">
        <v>27</v>
      </c>
      <c r="Q20" s="77">
        <v>60373</v>
      </c>
      <c r="R20" s="79">
        <v>2899578</v>
      </c>
      <c r="S20" s="75">
        <f t="shared" si="0"/>
        <v>0</v>
      </c>
      <c r="T20" s="9"/>
      <c r="U20" s="80"/>
    </row>
    <row r="21" spans="1:21" ht="18.75" x14ac:dyDescent="0.4">
      <c r="A21" s="2">
        <v>1981</v>
      </c>
      <c r="B21" s="76" t="s">
        <v>43</v>
      </c>
      <c r="C21" s="77">
        <v>1166624</v>
      </c>
      <c r="D21" s="77">
        <v>966687</v>
      </c>
      <c r="E21" s="77">
        <v>77097</v>
      </c>
      <c r="F21" s="77">
        <f>44726+1142</f>
        <v>45868</v>
      </c>
      <c r="G21" s="81" t="s">
        <v>27</v>
      </c>
      <c r="H21" s="77">
        <v>57072</v>
      </c>
      <c r="I21" s="77">
        <v>22346</v>
      </c>
      <c r="J21" s="77">
        <v>194637</v>
      </c>
      <c r="K21" s="77">
        <v>396648</v>
      </c>
      <c r="L21" s="77">
        <v>260195</v>
      </c>
      <c r="M21" s="77">
        <v>27457</v>
      </c>
      <c r="N21" s="77">
        <v>274200</v>
      </c>
      <c r="O21" s="77">
        <v>21367</v>
      </c>
      <c r="P21" s="77">
        <v>36359</v>
      </c>
      <c r="Q21" s="77">
        <v>62734</v>
      </c>
      <c r="R21" s="79">
        <v>3609291</v>
      </c>
      <c r="S21" s="75">
        <f t="shared" si="0"/>
        <v>0</v>
      </c>
      <c r="T21" s="9"/>
      <c r="U21" s="80"/>
    </row>
    <row r="22" spans="1:21" ht="18.75" x14ac:dyDescent="0.4">
      <c r="A22" s="2">
        <v>1982</v>
      </c>
      <c r="B22" s="76" t="s">
        <v>44</v>
      </c>
      <c r="C22" s="77">
        <v>1304428</v>
      </c>
      <c r="D22" s="77">
        <v>824721</v>
      </c>
      <c r="E22" s="77">
        <v>78576</v>
      </c>
      <c r="F22" s="77">
        <f>51521+1483</f>
        <v>53004</v>
      </c>
      <c r="G22" s="81" t="s">
        <v>27</v>
      </c>
      <c r="H22" s="77">
        <v>60929</v>
      </c>
      <c r="I22" s="77">
        <v>15900</v>
      </c>
      <c r="J22" s="77">
        <v>251017</v>
      </c>
      <c r="K22" s="77">
        <v>550657</v>
      </c>
      <c r="L22" s="77">
        <v>363207</v>
      </c>
      <c r="M22" s="77">
        <v>17782</v>
      </c>
      <c r="N22" s="77">
        <v>726800</v>
      </c>
      <c r="O22" s="77">
        <v>126796</v>
      </c>
      <c r="P22" s="77">
        <v>56970</v>
      </c>
      <c r="Q22" s="77">
        <v>105406</v>
      </c>
      <c r="R22" s="79">
        <v>4536193</v>
      </c>
      <c r="S22" s="75">
        <f t="shared" si="0"/>
        <v>0</v>
      </c>
      <c r="T22" s="9"/>
      <c r="U22" s="80"/>
    </row>
    <row r="23" spans="1:21" ht="18.75" x14ac:dyDescent="0.4">
      <c r="A23" s="2">
        <v>1983</v>
      </c>
      <c r="B23" s="76" t="s">
        <v>45</v>
      </c>
      <c r="C23" s="77">
        <v>1465888</v>
      </c>
      <c r="D23" s="77">
        <v>857542</v>
      </c>
      <c r="E23" s="77">
        <v>84386</v>
      </c>
      <c r="F23" s="77">
        <f>52896+2222</f>
        <v>55118</v>
      </c>
      <c r="G23" s="81" t="s">
        <v>27</v>
      </c>
      <c r="H23" s="77">
        <v>24258</v>
      </c>
      <c r="I23" s="77">
        <v>710</v>
      </c>
      <c r="J23" s="77">
        <v>252001</v>
      </c>
      <c r="K23" s="77">
        <v>421810</v>
      </c>
      <c r="L23" s="77">
        <v>379715</v>
      </c>
      <c r="M23" s="77">
        <v>42710</v>
      </c>
      <c r="N23" s="78" t="s">
        <v>26</v>
      </c>
      <c r="O23" s="77">
        <v>271657</v>
      </c>
      <c r="P23" s="77">
        <v>105868</v>
      </c>
      <c r="Q23" s="77">
        <v>135622</v>
      </c>
      <c r="R23" s="79">
        <v>4097285</v>
      </c>
      <c r="S23" s="75">
        <f t="shared" si="0"/>
        <v>0</v>
      </c>
      <c r="T23" s="9"/>
      <c r="U23" s="80"/>
    </row>
    <row r="24" spans="1:21" ht="18.75" x14ac:dyDescent="0.4">
      <c r="A24" s="2">
        <v>1984</v>
      </c>
      <c r="B24" s="76" t="s">
        <v>46</v>
      </c>
      <c r="C24" s="77">
        <v>1684727</v>
      </c>
      <c r="D24" s="77">
        <v>757029</v>
      </c>
      <c r="E24" s="77">
        <v>80236</v>
      </c>
      <c r="F24" s="77">
        <f>59722+2636</f>
        <v>62358</v>
      </c>
      <c r="G24" s="81" t="s">
        <v>27</v>
      </c>
      <c r="H24" s="77">
        <v>19503</v>
      </c>
      <c r="I24" s="77">
        <v>4203</v>
      </c>
      <c r="J24" s="77">
        <v>256541</v>
      </c>
      <c r="K24" s="77">
        <v>251953</v>
      </c>
      <c r="L24" s="77">
        <v>339107</v>
      </c>
      <c r="M24" s="77">
        <v>28541</v>
      </c>
      <c r="N24" s="78" t="s">
        <v>26</v>
      </c>
      <c r="O24" s="77">
        <v>222899</v>
      </c>
      <c r="P24" s="77">
        <v>55263</v>
      </c>
      <c r="Q24" s="77">
        <v>31152</v>
      </c>
      <c r="R24" s="79">
        <v>3793512</v>
      </c>
      <c r="S24" s="75">
        <f t="shared" si="0"/>
        <v>0</v>
      </c>
      <c r="T24" s="9"/>
      <c r="U24" s="80"/>
    </row>
    <row r="25" spans="1:21" ht="18.75" x14ac:dyDescent="0.4">
      <c r="A25" s="2">
        <v>1985</v>
      </c>
      <c r="B25" s="76" t="s">
        <v>47</v>
      </c>
      <c r="C25" s="77">
        <v>1891939</v>
      </c>
      <c r="D25" s="77">
        <v>660520</v>
      </c>
      <c r="E25" s="77">
        <v>82454</v>
      </c>
      <c r="F25" s="77">
        <f>61178+2648</f>
        <v>63826</v>
      </c>
      <c r="G25" s="81" t="s">
        <v>27</v>
      </c>
      <c r="H25" s="77">
        <v>27504</v>
      </c>
      <c r="I25" s="77">
        <v>11354</v>
      </c>
      <c r="J25" s="77">
        <v>234052</v>
      </c>
      <c r="K25" s="77">
        <v>236660</v>
      </c>
      <c r="L25" s="77">
        <v>387899</v>
      </c>
      <c r="M25" s="77">
        <v>29295</v>
      </c>
      <c r="N25" s="77">
        <v>231000</v>
      </c>
      <c r="O25" s="77">
        <v>24728</v>
      </c>
      <c r="P25" s="77">
        <v>126790</v>
      </c>
      <c r="Q25" s="77">
        <v>51008</v>
      </c>
      <c r="R25" s="79">
        <v>4059029</v>
      </c>
      <c r="S25" s="75">
        <f t="shared" si="0"/>
        <v>0</v>
      </c>
      <c r="T25" s="9"/>
      <c r="U25" s="80"/>
    </row>
    <row r="26" spans="1:21" ht="18.75" x14ac:dyDescent="0.4">
      <c r="A26" s="2">
        <v>1986</v>
      </c>
      <c r="B26" s="76" t="s">
        <v>48</v>
      </c>
      <c r="C26" s="77">
        <v>1990756</v>
      </c>
      <c r="D26" s="77">
        <v>695419</v>
      </c>
      <c r="E26" s="77">
        <v>86874</v>
      </c>
      <c r="F26" s="77">
        <f>64522+2382</f>
        <v>66904</v>
      </c>
      <c r="G26" s="81" t="s">
        <v>27</v>
      </c>
      <c r="H26" s="77">
        <v>38075</v>
      </c>
      <c r="I26" s="77">
        <v>4358</v>
      </c>
      <c r="J26" s="77">
        <v>233849</v>
      </c>
      <c r="K26" s="77">
        <v>229564</v>
      </c>
      <c r="L26" s="77">
        <v>432730</v>
      </c>
      <c r="M26" s="77">
        <v>25920</v>
      </c>
      <c r="N26" s="77">
        <v>311400</v>
      </c>
      <c r="O26" s="77">
        <v>175036</v>
      </c>
      <c r="P26" s="77">
        <v>121110</v>
      </c>
      <c r="Q26" s="77">
        <v>52993</v>
      </c>
      <c r="R26" s="79">
        <v>4464988</v>
      </c>
      <c r="S26" s="75">
        <f t="shared" si="0"/>
        <v>0</v>
      </c>
      <c r="T26" s="9"/>
      <c r="U26" s="80"/>
    </row>
    <row r="27" spans="1:21" ht="18.75" x14ac:dyDescent="0.4">
      <c r="A27" s="2">
        <v>1987</v>
      </c>
      <c r="B27" s="76" t="s">
        <v>49</v>
      </c>
      <c r="C27" s="77">
        <v>2010501</v>
      </c>
      <c r="D27" s="77">
        <v>821346</v>
      </c>
      <c r="E27" s="77">
        <v>91796</v>
      </c>
      <c r="F27" s="77">
        <f>71017+5529</f>
        <v>76546</v>
      </c>
      <c r="G27" s="81" t="s">
        <v>27</v>
      </c>
      <c r="H27" s="77">
        <v>38422</v>
      </c>
      <c r="I27" s="77">
        <v>1530</v>
      </c>
      <c r="J27" s="77">
        <v>229241</v>
      </c>
      <c r="K27" s="77">
        <v>279208</v>
      </c>
      <c r="L27" s="77">
        <v>419245</v>
      </c>
      <c r="M27" s="77">
        <v>78290</v>
      </c>
      <c r="N27" s="77">
        <v>457000</v>
      </c>
      <c r="O27" s="77">
        <v>44969</v>
      </c>
      <c r="P27" s="77">
        <v>167730</v>
      </c>
      <c r="Q27" s="77">
        <v>113858</v>
      </c>
      <c r="R27" s="79">
        <v>4829682</v>
      </c>
      <c r="S27" s="75">
        <f t="shared" si="0"/>
        <v>0</v>
      </c>
      <c r="T27" s="9"/>
      <c r="U27" s="80"/>
    </row>
    <row r="28" spans="1:21" ht="18.75" x14ac:dyDescent="0.4">
      <c r="A28" s="2">
        <v>1988</v>
      </c>
      <c r="B28" s="76" t="s">
        <v>50</v>
      </c>
      <c r="C28" s="77">
        <v>2183948</v>
      </c>
      <c r="D28" s="77">
        <v>1048551</v>
      </c>
      <c r="E28" s="77">
        <v>94079</v>
      </c>
      <c r="F28" s="77">
        <f>17476+88864+4501</f>
        <v>110841</v>
      </c>
      <c r="G28" s="81" t="s">
        <v>27</v>
      </c>
      <c r="H28" s="77">
        <v>35475</v>
      </c>
      <c r="I28" s="77">
        <v>3530</v>
      </c>
      <c r="J28" s="77">
        <v>226704</v>
      </c>
      <c r="K28" s="77">
        <v>286829</v>
      </c>
      <c r="L28" s="77">
        <v>405904</v>
      </c>
      <c r="M28" s="77">
        <v>28641</v>
      </c>
      <c r="N28" s="77">
        <v>318700</v>
      </c>
      <c r="O28" s="77">
        <v>82226</v>
      </c>
      <c r="P28" s="77">
        <v>145705</v>
      </c>
      <c r="Q28" s="77">
        <v>71704</v>
      </c>
      <c r="R28" s="79">
        <v>5042837</v>
      </c>
      <c r="S28" s="75">
        <f t="shared" si="0"/>
        <v>0</v>
      </c>
      <c r="T28" s="9"/>
      <c r="U28" s="80"/>
    </row>
    <row r="29" spans="1:21" ht="18.75" x14ac:dyDescent="0.4">
      <c r="A29" s="2">
        <v>1989</v>
      </c>
      <c r="B29" s="76" t="s">
        <v>51</v>
      </c>
      <c r="C29" s="77">
        <v>2313485</v>
      </c>
      <c r="D29" s="77">
        <v>1247781</v>
      </c>
      <c r="E29" s="77">
        <v>203172</v>
      </c>
      <c r="F29" s="77">
        <f>41860+91537+3955</f>
        <v>137352</v>
      </c>
      <c r="G29" s="81" t="s">
        <v>27</v>
      </c>
      <c r="H29" s="77">
        <v>34111</v>
      </c>
      <c r="I29" s="77">
        <v>4961</v>
      </c>
      <c r="J29" s="77">
        <f>214285+10025</f>
        <v>224310</v>
      </c>
      <c r="K29" s="77">
        <v>325853</v>
      </c>
      <c r="L29" s="77">
        <v>311730</v>
      </c>
      <c r="M29" s="77">
        <v>35436</v>
      </c>
      <c r="N29" s="77">
        <v>633100</v>
      </c>
      <c r="O29" s="77">
        <v>160278</v>
      </c>
      <c r="P29" s="77">
        <v>124286</v>
      </c>
      <c r="Q29" s="77">
        <v>75365</v>
      </c>
      <c r="R29" s="79">
        <v>5831220</v>
      </c>
      <c r="S29" s="75">
        <f t="shared" si="0"/>
        <v>0</v>
      </c>
      <c r="T29" s="9"/>
      <c r="U29" s="80"/>
    </row>
    <row r="30" spans="1:21" ht="18.75" x14ac:dyDescent="0.4">
      <c r="A30" s="2">
        <v>1990</v>
      </c>
      <c r="B30" s="76" t="s">
        <v>53</v>
      </c>
      <c r="C30" s="77">
        <v>2464456</v>
      </c>
      <c r="D30" s="77">
        <v>1272028</v>
      </c>
      <c r="E30" s="77">
        <v>216154</v>
      </c>
      <c r="F30" s="77">
        <f>101361+101596+4273</f>
        <v>207230</v>
      </c>
      <c r="G30" s="81" t="s">
        <v>27</v>
      </c>
      <c r="H30" s="77">
        <v>34254</v>
      </c>
      <c r="I30" s="77">
        <v>2007</v>
      </c>
      <c r="J30" s="77">
        <v>217572</v>
      </c>
      <c r="K30" s="77">
        <v>294248</v>
      </c>
      <c r="L30" s="77">
        <v>175885</v>
      </c>
      <c r="M30" s="77">
        <v>78761</v>
      </c>
      <c r="N30" s="77">
        <v>1089700</v>
      </c>
      <c r="O30" s="77">
        <v>461066</v>
      </c>
      <c r="P30" s="77">
        <v>203532</v>
      </c>
      <c r="Q30" s="77">
        <v>87026</v>
      </c>
      <c r="R30" s="79">
        <v>6803919</v>
      </c>
      <c r="S30" s="75">
        <f t="shared" si="0"/>
        <v>0</v>
      </c>
      <c r="T30" s="9"/>
      <c r="U30" s="80"/>
    </row>
    <row r="31" spans="1:21" ht="18.75" x14ac:dyDescent="0.4">
      <c r="A31" s="2">
        <v>1991</v>
      </c>
      <c r="B31" s="76" t="s">
        <v>54</v>
      </c>
      <c r="C31" s="77">
        <v>2650777</v>
      </c>
      <c r="D31" s="77">
        <v>1537642</v>
      </c>
      <c r="E31" s="77">
        <v>213342</v>
      </c>
      <c r="F31" s="77">
        <f>108564+875+103580+4957</f>
        <v>217976</v>
      </c>
      <c r="G31" s="81" t="s">
        <v>27</v>
      </c>
      <c r="H31" s="77">
        <v>62669</v>
      </c>
      <c r="I31" s="77">
        <v>2388</v>
      </c>
      <c r="J31" s="77">
        <v>221152</v>
      </c>
      <c r="K31" s="77">
        <v>215433</v>
      </c>
      <c r="L31" s="77">
        <v>277023</v>
      </c>
      <c r="M31" s="77">
        <v>67757</v>
      </c>
      <c r="N31" s="77">
        <v>944800</v>
      </c>
      <c r="O31" s="77">
        <v>445337</v>
      </c>
      <c r="P31" s="77">
        <v>165211</v>
      </c>
      <c r="Q31" s="77">
        <v>99714</v>
      </c>
      <c r="R31" s="79">
        <v>7121221</v>
      </c>
      <c r="S31" s="75">
        <f t="shared" si="0"/>
        <v>0</v>
      </c>
      <c r="T31" s="9"/>
      <c r="U31" s="80"/>
    </row>
    <row r="32" spans="1:21" ht="18.75" x14ac:dyDescent="0.4">
      <c r="A32" s="2">
        <v>1992</v>
      </c>
      <c r="B32" s="76" t="s">
        <v>55</v>
      </c>
      <c r="C32" s="77">
        <v>2715045</v>
      </c>
      <c r="D32" s="77">
        <v>2064940</v>
      </c>
      <c r="E32" s="77">
        <v>219612</v>
      </c>
      <c r="F32" s="77">
        <f>71756+1830+97245+4676</f>
        <v>175507</v>
      </c>
      <c r="G32" s="81" t="s">
        <v>27</v>
      </c>
      <c r="H32" s="77">
        <v>28094</v>
      </c>
      <c r="I32" s="77">
        <v>4920</v>
      </c>
      <c r="J32" s="77">
        <v>228290</v>
      </c>
      <c r="K32" s="77">
        <v>275726</v>
      </c>
      <c r="L32" s="77">
        <v>271680</v>
      </c>
      <c r="M32" s="77">
        <v>57728</v>
      </c>
      <c r="N32" s="77">
        <v>1044100</v>
      </c>
      <c r="O32" s="77">
        <v>326449</v>
      </c>
      <c r="P32" s="77">
        <v>198427</v>
      </c>
      <c r="Q32" s="77">
        <v>107251</v>
      </c>
      <c r="R32" s="79">
        <v>7717769</v>
      </c>
      <c r="S32" s="75">
        <f t="shared" si="0"/>
        <v>0</v>
      </c>
      <c r="T32" s="9"/>
      <c r="U32" s="80"/>
    </row>
    <row r="33" spans="1:21" ht="18.75" x14ac:dyDescent="0.4">
      <c r="A33" s="2">
        <v>1993</v>
      </c>
      <c r="B33" s="76" t="s">
        <v>56</v>
      </c>
      <c r="C33" s="77">
        <v>2772161</v>
      </c>
      <c r="D33" s="77">
        <v>1436118</v>
      </c>
      <c r="E33" s="77">
        <v>236408</v>
      </c>
      <c r="F33" s="77">
        <f>88404+2242+92751+4436</f>
        <v>187833</v>
      </c>
      <c r="G33" s="81" t="s">
        <v>27</v>
      </c>
      <c r="H33" s="77">
        <v>50519</v>
      </c>
      <c r="I33" s="77">
        <v>13692</v>
      </c>
      <c r="J33" s="77">
        <v>246949</v>
      </c>
      <c r="K33" s="77">
        <v>309125</v>
      </c>
      <c r="L33" s="77">
        <v>272308</v>
      </c>
      <c r="M33" s="77">
        <v>50695</v>
      </c>
      <c r="N33" s="77">
        <v>612800</v>
      </c>
      <c r="O33" s="77">
        <v>326148</v>
      </c>
      <c r="P33" s="77">
        <v>245028</v>
      </c>
      <c r="Q33" s="77">
        <v>166777</v>
      </c>
      <c r="R33" s="79">
        <v>6926561</v>
      </c>
      <c r="S33" s="75">
        <f t="shared" si="0"/>
        <v>0</v>
      </c>
      <c r="T33" s="9"/>
      <c r="U33" s="80"/>
    </row>
    <row r="34" spans="1:21" ht="18.75" x14ac:dyDescent="0.4">
      <c r="A34" s="2">
        <v>1994</v>
      </c>
      <c r="B34" s="76" t="s">
        <v>57</v>
      </c>
      <c r="C34" s="77">
        <v>2672395</v>
      </c>
      <c r="D34" s="77">
        <v>1761657</v>
      </c>
      <c r="E34" s="77">
        <v>241640</v>
      </c>
      <c r="F34" s="77">
        <f>112689+2485+99229+4561</f>
        <v>218964</v>
      </c>
      <c r="G34" s="81" t="s">
        <v>27</v>
      </c>
      <c r="H34" s="77">
        <v>45182</v>
      </c>
      <c r="I34" s="77">
        <v>3395</v>
      </c>
      <c r="J34" s="77">
        <v>258913</v>
      </c>
      <c r="K34" s="77">
        <v>350808</v>
      </c>
      <c r="L34" s="77">
        <v>316379</v>
      </c>
      <c r="M34" s="77">
        <v>34914</v>
      </c>
      <c r="N34" s="77">
        <v>891700</v>
      </c>
      <c r="O34" s="77">
        <v>524070</v>
      </c>
      <c r="P34" s="77">
        <v>256179</v>
      </c>
      <c r="Q34" s="77">
        <v>163152</v>
      </c>
      <c r="R34" s="79">
        <v>7739348</v>
      </c>
      <c r="S34" s="75">
        <f t="shared" si="0"/>
        <v>0</v>
      </c>
      <c r="T34" s="9"/>
      <c r="U34" s="80"/>
    </row>
    <row r="35" spans="1:21" ht="18.75" x14ac:dyDescent="0.4">
      <c r="A35" s="2">
        <v>1995</v>
      </c>
      <c r="B35" s="76" t="s">
        <v>58</v>
      </c>
      <c r="C35" s="77">
        <v>2903137</v>
      </c>
      <c r="D35" s="77">
        <v>1971502</v>
      </c>
      <c r="E35" s="77">
        <v>248926</v>
      </c>
      <c r="F35" s="77">
        <v>195021</v>
      </c>
      <c r="G35" s="81" t="s">
        <v>27</v>
      </c>
      <c r="H35" s="77">
        <v>60819</v>
      </c>
      <c r="I35" s="77">
        <v>9867</v>
      </c>
      <c r="J35" s="77">
        <v>253488</v>
      </c>
      <c r="K35" s="77">
        <v>348128</v>
      </c>
      <c r="L35" s="77">
        <v>437694</v>
      </c>
      <c r="M35" s="77">
        <v>121458</v>
      </c>
      <c r="N35" s="77">
        <v>1436100</v>
      </c>
      <c r="O35" s="77">
        <v>644679</v>
      </c>
      <c r="P35" s="77">
        <v>264052</v>
      </c>
      <c r="Q35" s="77">
        <v>232650</v>
      </c>
      <c r="R35" s="79">
        <v>9127521</v>
      </c>
      <c r="S35" s="75">
        <f t="shared" si="0"/>
        <v>0</v>
      </c>
      <c r="T35" s="9"/>
      <c r="U35" s="80"/>
    </row>
    <row r="36" spans="1:21" ht="18.75" x14ac:dyDescent="0.4">
      <c r="A36" s="2">
        <v>1996</v>
      </c>
      <c r="B36" s="76" t="s">
        <v>59</v>
      </c>
      <c r="C36" s="77">
        <v>3097234</v>
      </c>
      <c r="D36" s="77">
        <v>2050028</v>
      </c>
      <c r="E36" s="77">
        <v>259677</v>
      </c>
      <c r="F36" s="77">
        <f>47562+2476+110597+4767</f>
        <v>165402</v>
      </c>
      <c r="G36" s="81" t="s">
        <v>27</v>
      </c>
      <c r="H36" s="77">
        <v>71539</v>
      </c>
      <c r="I36" s="77">
        <v>16801</v>
      </c>
      <c r="J36" s="77">
        <v>279173</v>
      </c>
      <c r="K36" s="77">
        <v>303221</v>
      </c>
      <c r="L36" s="77">
        <v>296140</v>
      </c>
      <c r="M36" s="77">
        <v>55178</v>
      </c>
      <c r="N36" s="77">
        <v>1712200</v>
      </c>
      <c r="O36" s="77">
        <v>758420</v>
      </c>
      <c r="P36" s="77">
        <v>396080</v>
      </c>
      <c r="Q36" s="77">
        <v>164544</v>
      </c>
      <c r="R36" s="79">
        <v>9625637</v>
      </c>
      <c r="S36" s="75">
        <f t="shared" si="0"/>
        <v>0</v>
      </c>
      <c r="T36" s="9"/>
      <c r="U36" s="80"/>
    </row>
    <row r="37" spans="1:21" ht="18.75" x14ac:dyDescent="0.4">
      <c r="A37" s="2">
        <v>1997</v>
      </c>
      <c r="B37" s="76" t="s">
        <v>60</v>
      </c>
      <c r="C37" s="77">
        <v>3200814</v>
      </c>
      <c r="D37" s="77">
        <v>1901382</v>
      </c>
      <c r="E37" s="77">
        <v>177385</v>
      </c>
      <c r="F37" s="77">
        <f>40247+58469+5460+95749+4771</f>
        <v>204696</v>
      </c>
      <c r="G37" s="81" t="s">
        <v>27</v>
      </c>
      <c r="H37" s="77">
        <v>85191</v>
      </c>
      <c r="I37" s="77">
        <v>17558</v>
      </c>
      <c r="J37" s="77">
        <v>271227</v>
      </c>
      <c r="K37" s="77">
        <v>330604</v>
      </c>
      <c r="L37" s="77">
        <v>374158</v>
      </c>
      <c r="M37" s="77">
        <v>58708</v>
      </c>
      <c r="N37" s="77">
        <v>871200</v>
      </c>
      <c r="O37" s="77">
        <v>595151</v>
      </c>
      <c r="P37" s="77">
        <v>365064</v>
      </c>
      <c r="Q37" s="77">
        <v>262739</v>
      </c>
      <c r="R37" s="79">
        <v>8715877</v>
      </c>
      <c r="S37" s="75">
        <f t="shared" si="0"/>
        <v>0</v>
      </c>
      <c r="T37" s="9"/>
      <c r="U37" s="80"/>
    </row>
    <row r="38" spans="1:21" ht="18.75" x14ac:dyDescent="0.4">
      <c r="A38" s="2">
        <v>1998</v>
      </c>
      <c r="B38" s="76" t="s">
        <v>62</v>
      </c>
      <c r="C38" s="77">
        <v>3726138</v>
      </c>
      <c r="D38" s="77">
        <v>1955583</v>
      </c>
      <c r="E38" s="82">
        <v>136944</v>
      </c>
      <c r="F38" s="82">
        <f>29982+263223+4584+84956+4914</f>
        <v>387659</v>
      </c>
      <c r="G38" s="81" t="s">
        <v>27</v>
      </c>
      <c r="H38" s="82">
        <v>82209</v>
      </c>
      <c r="I38" s="82">
        <v>33522</v>
      </c>
      <c r="J38" s="83">
        <v>307311</v>
      </c>
      <c r="K38" s="83">
        <v>520539</v>
      </c>
      <c r="L38" s="83">
        <v>421160</v>
      </c>
      <c r="M38" s="83">
        <v>104701</v>
      </c>
      <c r="N38" s="77">
        <v>865800</v>
      </c>
      <c r="O38" s="83">
        <v>678681</v>
      </c>
      <c r="P38" s="77">
        <v>330319</v>
      </c>
      <c r="Q38" s="77">
        <v>312410</v>
      </c>
      <c r="R38" s="79">
        <v>9862976</v>
      </c>
      <c r="S38" s="75">
        <f t="shared" si="0"/>
        <v>0</v>
      </c>
      <c r="T38" s="9"/>
      <c r="U38" s="80"/>
    </row>
    <row r="39" spans="1:21" ht="18.75" x14ac:dyDescent="0.4">
      <c r="A39" s="2">
        <v>1999</v>
      </c>
      <c r="B39" s="76" t="s">
        <v>63</v>
      </c>
      <c r="C39" s="77">
        <v>3305652</v>
      </c>
      <c r="D39" s="77">
        <v>1644360</v>
      </c>
      <c r="E39" s="77">
        <v>139676</v>
      </c>
      <c r="F39" s="84">
        <f>30543+247838+4883+76805+96595+4793</f>
        <v>461457</v>
      </c>
      <c r="G39" s="81" t="s">
        <v>27</v>
      </c>
      <c r="H39" s="77">
        <v>82844</v>
      </c>
      <c r="I39" s="77">
        <v>31487</v>
      </c>
      <c r="J39" s="77">
        <v>290078</v>
      </c>
      <c r="K39" s="77">
        <v>662100</v>
      </c>
      <c r="L39" s="77">
        <v>380859</v>
      </c>
      <c r="M39" s="77">
        <v>791353</v>
      </c>
      <c r="N39" s="77">
        <v>673600</v>
      </c>
      <c r="O39" s="77">
        <v>864866</v>
      </c>
      <c r="P39" s="77">
        <v>626967</v>
      </c>
      <c r="Q39" s="77">
        <v>439281</v>
      </c>
      <c r="R39" s="79">
        <v>10394580</v>
      </c>
      <c r="S39" s="75">
        <f t="shared" si="0"/>
        <v>0</v>
      </c>
      <c r="T39" s="9"/>
      <c r="U39" s="80"/>
    </row>
    <row r="40" spans="1:21" ht="18.75" x14ac:dyDescent="0.4">
      <c r="A40" s="2">
        <v>2000</v>
      </c>
      <c r="B40" s="76" t="s">
        <v>64</v>
      </c>
      <c r="C40" s="77">
        <v>3511634</v>
      </c>
      <c r="D40" s="77">
        <v>2248246</v>
      </c>
      <c r="E40" s="77">
        <v>141361</v>
      </c>
      <c r="F40" s="84">
        <f>140896+255586+1046+75544+4093+136753</f>
        <v>613918</v>
      </c>
      <c r="G40" s="81" t="s">
        <v>27</v>
      </c>
      <c r="H40" s="77">
        <v>40589</v>
      </c>
      <c r="I40" s="77">
        <v>28316</v>
      </c>
      <c r="J40" s="77">
        <v>270761</v>
      </c>
      <c r="K40" s="77">
        <v>381372</v>
      </c>
      <c r="L40" s="77">
        <v>230639</v>
      </c>
      <c r="M40" s="77">
        <v>15467</v>
      </c>
      <c r="N40" s="77">
        <v>864700</v>
      </c>
      <c r="O40" s="77">
        <v>517981</v>
      </c>
      <c r="P40" s="77">
        <v>628063</v>
      </c>
      <c r="Q40" s="77">
        <v>275911</v>
      </c>
      <c r="R40" s="79">
        <v>9768958</v>
      </c>
      <c r="S40" s="75">
        <f t="shared" si="0"/>
        <v>0</v>
      </c>
      <c r="T40" s="9"/>
      <c r="U40" s="80"/>
    </row>
    <row r="41" spans="1:21" ht="18.75" x14ac:dyDescent="0.4">
      <c r="A41" s="2">
        <v>2001</v>
      </c>
      <c r="B41" s="76" t="s">
        <v>65</v>
      </c>
      <c r="C41" s="77">
        <v>3646866</v>
      </c>
      <c r="D41" s="77">
        <v>1805876</v>
      </c>
      <c r="E41" s="77">
        <v>141670</v>
      </c>
      <c r="F41" s="84">
        <f>153649+267553+73162+174286+4411</f>
        <v>673061</v>
      </c>
      <c r="G41" s="81" t="s">
        <v>27</v>
      </c>
      <c r="H41" s="77">
        <v>48502</v>
      </c>
      <c r="I41" s="77">
        <v>10208</v>
      </c>
      <c r="J41" s="77">
        <v>280237</v>
      </c>
      <c r="K41" s="77">
        <v>557404</v>
      </c>
      <c r="L41" s="77">
        <v>274013</v>
      </c>
      <c r="M41" s="77">
        <v>18219</v>
      </c>
      <c r="N41" s="77">
        <v>1263900</v>
      </c>
      <c r="O41" s="77">
        <v>608501</v>
      </c>
      <c r="P41" s="77">
        <v>372357</v>
      </c>
      <c r="Q41" s="77">
        <v>360060</v>
      </c>
      <c r="R41" s="79">
        <v>10060874</v>
      </c>
      <c r="S41" s="75">
        <f t="shared" si="0"/>
        <v>0</v>
      </c>
      <c r="T41" s="9"/>
      <c r="U41" s="80"/>
    </row>
    <row r="42" spans="1:21" ht="18.75" x14ac:dyDescent="0.4">
      <c r="A42" s="2">
        <v>2002</v>
      </c>
      <c r="B42" s="76" t="s">
        <v>66</v>
      </c>
      <c r="C42" s="77">
        <v>3055187</v>
      </c>
      <c r="D42" s="77">
        <v>1717869</v>
      </c>
      <c r="E42" s="77">
        <v>142320</v>
      </c>
      <c r="F42" s="84">
        <f>42781+241566+67392+180429+4080</f>
        <v>536248</v>
      </c>
      <c r="G42" s="84">
        <v>241566</v>
      </c>
      <c r="H42" s="77">
        <v>45182</v>
      </c>
      <c r="I42" s="77">
        <v>5975</v>
      </c>
      <c r="J42" s="77">
        <v>290012</v>
      </c>
      <c r="K42" s="77">
        <v>339660</v>
      </c>
      <c r="L42" s="77">
        <v>295345</v>
      </c>
      <c r="M42" s="77">
        <v>18577</v>
      </c>
      <c r="N42" s="77">
        <v>1069800</v>
      </c>
      <c r="O42" s="77">
        <v>933252</v>
      </c>
      <c r="P42" s="77">
        <v>353817</v>
      </c>
      <c r="Q42" s="77">
        <v>413594</v>
      </c>
      <c r="R42" s="79">
        <v>9216838</v>
      </c>
      <c r="S42" s="75">
        <f>R42-SUM(C42:Q42)+G42</f>
        <v>0</v>
      </c>
      <c r="T42" s="9"/>
      <c r="U42" s="80"/>
    </row>
    <row r="43" spans="1:21" ht="18.75" x14ac:dyDescent="0.4">
      <c r="A43" s="2">
        <v>2003</v>
      </c>
      <c r="B43" s="76" t="s">
        <v>67</v>
      </c>
      <c r="C43" s="77">
        <v>2952516</v>
      </c>
      <c r="D43" s="77">
        <v>2124395</v>
      </c>
      <c r="E43" s="77">
        <v>147876</v>
      </c>
      <c r="F43" s="84">
        <f>30295+280355+64509+98340+3969</f>
        <v>477468</v>
      </c>
      <c r="G43" s="84">
        <v>280355</v>
      </c>
      <c r="H43" s="83">
        <v>34540</v>
      </c>
      <c r="I43" s="77">
        <v>2070</v>
      </c>
      <c r="J43" s="77">
        <v>294405</v>
      </c>
      <c r="K43" s="77">
        <v>373926</v>
      </c>
      <c r="L43" s="77">
        <v>352663</v>
      </c>
      <c r="M43" s="77">
        <v>11934</v>
      </c>
      <c r="N43" s="77">
        <v>975300</v>
      </c>
      <c r="O43" s="77">
        <v>496454</v>
      </c>
      <c r="P43" s="77">
        <v>493802</v>
      </c>
      <c r="Q43" s="77">
        <v>693515</v>
      </c>
      <c r="R43" s="79">
        <v>9430864</v>
      </c>
      <c r="S43" s="75">
        <f t="shared" ref="S43:S60" si="1">R43-SUM(C43:Q43)+G43</f>
        <v>0</v>
      </c>
      <c r="T43" s="9"/>
      <c r="U43" s="80"/>
    </row>
    <row r="44" spans="1:21" ht="18.75" x14ac:dyDescent="0.4">
      <c r="A44" s="2">
        <v>2004</v>
      </c>
      <c r="B44" s="76" t="s">
        <v>68</v>
      </c>
      <c r="C44" s="83">
        <v>3093429</v>
      </c>
      <c r="D44" s="83">
        <v>2113936</v>
      </c>
      <c r="E44" s="83">
        <v>200453</v>
      </c>
      <c r="F44" s="84">
        <f>31124+3646+4248+311894+68570+108549+4084</f>
        <v>532115</v>
      </c>
      <c r="G44" s="84">
        <v>311894</v>
      </c>
      <c r="H44" s="83">
        <v>33077</v>
      </c>
      <c r="I44" s="85">
        <v>2356</v>
      </c>
      <c r="J44" s="84">
        <f>269560+21820</f>
        <v>291380</v>
      </c>
      <c r="K44" s="83">
        <v>265635</v>
      </c>
      <c r="L44" s="83">
        <v>234577</v>
      </c>
      <c r="M44" s="83">
        <v>37016</v>
      </c>
      <c r="N44" s="83">
        <v>941900</v>
      </c>
      <c r="O44" s="83">
        <v>580290</v>
      </c>
      <c r="P44" s="83">
        <v>474249</v>
      </c>
      <c r="Q44" s="83">
        <v>677147</v>
      </c>
      <c r="R44" s="86">
        <v>9477560</v>
      </c>
      <c r="S44" s="75">
        <f t="shared" si="1"/>
        <v>0</v>
      </c>
      <c r="T44" s="9"/>
      <c r="U44" s="80"/>
    </row>
    <row r="45" spans="1:21" ht="18.75" x14ac:dyDescent="0.4">
      <c r="A45" s="2">
        <v>2005</v>
      </c>
      <c r="B45" s="76" t="s">
        <v>69</v>
      </c>
      <c r="C45" s="83">
        <v>3168589</v>
      </c>
      <c r="D45" s="83">
        <v>1947503</v>
      </c>
      <c r="E45" s="83">
        <v>245424</v>
      </c>
      <c r="F45" s="84">
        <f>18691+5855+9685+283926+64220+119213+4585</f>
        <v>506175</v>
      </c>
      <c r="G45" s="84">
        <v>283926</v>
      </c>
      <c r="H45" s="83">
        <v>38308</v>
      </c>
      <c r="I45" s="85">
        <v>24480</v>
      </c>
      <c r="J45" s="84">
        <f>276139+22277</f>
        <v>298416</v>
      </c>
      <c r="K45" s="83">
        <v>313205</v>
      </c>
      <c r="L45" s="87">
        <v>275845</v>
      </c>
      <c r="M45" s="83">
        <v>40233</v>
      </c>
      <c r="N45" s="83">
        <v>651400</v>
      </c>
      <c r="O45" s="83">
        <v>414569</v>
      </c>
      <c r="P45" s="83">
        <v>435918</v>
      </c>
      <c r="Q45" s="83">
        <v>499942</v>
      </c>
      <c r="R45" s="86">
        <v>8860007</v>
      </c>
      <c r="S45" s="75">
        <f t="shared" si="1"/>
        <v>0</v>
      </c>
      <c r="T45" s="9"/>
      <c r="U45" s="80"/>
    </row>
    <row r="46" spans="1:21" ht="18.75" x14ac:dyDescent="0.4">
      <c r="A46" s="2">
        <v>2006</v>
      </c>
      <c r="B46" s="76" t="s">
        <v>70</v>
      </c>
      <c r="C46" s="83">
        <v>3350647</v>
      </c>
      <c r="D46" s="83">
        <v>1622065</v>
      </c>
      <c r="E46" s="83">
        <v>365901</v>
      </c>
      <c r="F46" s="84">
        <f>11499+10749+8250+284279+65247+96152+4654</f>
        <v>480830</v>
      </c>
      <c r="G46" s="84">
        <v>284279</v>
      </c>
      <c r="H46" s="83">
        <v>44032</v>
      </c>
      <c r="I46" s="85">
        <v>10849</v>
      </c>
      <c r="J46" s="84">
        <f>278745+21350</f>
        <v>300095</v>
      </c>
      <c r="K46" s="83">
        <v>321446</v>
      </c>
      <c r="L46" s="83">
        <v>292518</v>
      </c>
      <c r="M46" s="83">
        <v>16704</v>
      </c>
      <c r="N46" s="83">
        <v>545200</v>
      </c>
      <c r="O46" s="83">
        <v>395980</v>
      </c>
      <c r="P46" s="83">
        <v>591531</v>
      </c>
      <c r="Q46" s="83">
        <v>546803</v>
      </c>
      <c r="R46" s="86">
        <v>8884601</v>
      </c>
      <c r="S46" s="75">
        <f t="shared" si="1"/>
        <v>0</v>
      </c>
      <c r="T46" s="9"/>
      <c r="U46" s="80"/>
    </row>
    <row r="47" spans="1:21" ht="20.25" customHeight="1" x14ac:dyDescent="0.4">
      <c r="A47" s="2">
        <v>2007</v>
      </c>
      <c r="B47" s="76" t="s">
        <v>71</v>
      </c>
      <c r="C47" s="83">
        <v>3736281</v>
      </c>
      <c r="D47" s="83">
        <v>1389640</v>
      </c>
      <c r="E47" s="83">
        <v>151412</v>
      </c>
      <c r="F47" s="84">
        <f>15830+12096+7234+283149+60491+24126+4349</f>
        <v>407275</v>
      </c>
      <c r="G47" s="84">
        <v>283149</v>
      </c>
      <c r="H47" s="83">
        <v>36088</v>
      </c>
      <c r="I47" s="85">
        <v>8088</v>
      </c>
      <c r="J47" s="84">
        <f>273010+21747</f>
        <v>294757</v>
      </c>
      <c r="K47" s="83">
        <v>753761</v>
      </c>
      <c r="L47" s="83">
        <v>382507</v>
      </c>
      <c r="M47" s="83">
        <v>394517</v>
      </c>
      <c r="N47" s="83">
        <v>727000</v>
      </c>
      <c r="O47" s="83">
        <v>18930</v>
      </c>
      <c r="P47" s="83">
        <v>460066</v>
      </c>
      <c r="Q47" s="83">
        <v>571187</v>
      </c>
      <c r="R47" s="86">
        <v>9331509</v>
      </c>
      <c r="S47" s="75">
        <f t="shared" si="1"/>
        <v>0</v>
      </c>
      <c r="T47" s="9"/>
      <c r="U47" s="80"/>
    </row>
    <row r="48" spans="1:21" ht="20.25" customHeight="1" x14ac:dyDescent="0.4">
      <c r="A48" s="2">
        <v>2008</v>
      </c>
      <c r="B48" s="76" t="s">
        <v>73</v>
      </c>
      <c r="C48" s="83">
        <v>3835070</v>
      </c>
      <c r="D48" s="83">
        <v>1516488</v>
      </c>
      <c r="E48" s="83">
        <v>145128</v>
      </c>
      <c r="F48" s="84">
        <f>16153+4651+1715+266504+53859+44881+3844</f>
        <v>391607</v>
      </c>
      <c r="G48" s="84">
        <v>266504</v>
      </c>
      <c r="H48" s="83">
        <v>36227</v>
      </c>
      <c r="I48" s="85">
        <v>5492</v>
      </c>
      <c r="J48" s="84">
        <f>258382+19611</f>
        <v>277993</v>
      </c>
      <c r="K48" s="83">
        <v>968739</v>
      </c>
      <c r="L48" s="83">
        <v>419541</v>
      </c>
      <c r="M48" s="83">
        <v>83055</v>
      </c>
      <c r="N48" s="83">
        <v>361700</v>
      </c>
      <c r="O48" s="83">
        <v>25417</v>
      </c>
      <c r="P48" s="83">
        <v>316357</v>
      </c>
      <c r="Q48" s="83">
        <v>499938</v>
      </c>
      <c r="R48" s="86">
        <v>8882752</v>
      </c>
      <c r="S48" s="75">
        <f t="shared" si="1"/>
        <v>0</v>
      </c>
      <c r="T48" s="9"/>
      <c r="U48" s="80"/>
    </row>
    <row r="49" spans="1:21" ht="20.25" customHeight="1" x14ac:dyDescent="0.4">
      <c r="A49" s="2">
        <v>2009</v>
      </c>
      <c r="B49" s="76" t="s">
        <v>75</v>
      </c>
      <c r="C49" s="83">
        <v>3489213</v>
      </c>
      <c r="D49" s="83">
        <v>1595781</v>
      </c>
      <c r="E49" s="83">
        <v>135796</v>
      </c>
      <c r="F49" s="84">
        <f>15450+3726+1923+276755+32369+43929+3803</f>
        <v>377955</v>
      </c>
      <c r="G49" s="84">
        <v>276755</v>
      </c>
      <c r="H49" s="83">
        <v>40076</v>
      </c>
      <c r="I49" s="85">
        <v>28501</v>
      </c>
      <c r="J49" s="84">
        <v>271534</v>
      </c>
      <c r="K49" s="83">
        <v>791343</v>
      </c>
      <c r="L49" s="83">
        <v>367754</v>
      </c>
      <c r="M49" s="83">
        <v>71351</v>
      </c>
      <c r="N49" s="83">
        <v>622100</v>
      </c>
      <c r="O49" s="83">
        <v>138614</v>
      </c>
      <c r="P49" s="83">
        <v>536343</v>
      </c>
      <c r="Q49" s="83">
        <v>451095</v>
      </c>
      <c r="R49" s="86">
        <v>8917456</v>
      </c>
      <c r="S49" s="75">
        <f t="shared" si="1"/>
        <v>0</v>
      </c>
      <c r="T49" s="9"/>
      <c r="U49" s="80"/>
    </row>
    <row r="50" spans="1:21" ht="20.25" customHeight="1" x14ac:dyDescent="0.4">
      <c r="A50" s="2">
        <v>2010</v>
      </c>
      <c r="B50" s="76" t="s">
        <v>76</v>
      </c>
      <c r="C50" s="83">
        <v>3235938</v>
      </c>
      <c r="D50" s="83">
        <v>2054819</v>
      </c>
      <c r="E50" s="83">
        <v>131753</v>
      </c>
      <c r="F50" s="84">
        <v>376025</v>
      </c>
      <c r="G50" s="84">
        <v>276279</v>
      </c>
      <c r="H50" s="83">
        <v>36295</v>
      </c>
      <c r="I50" s="85">
        <v>4634</v>
      </c>
      <c r="J50" s="84">
        <v>268060</v>
      </c>
      <c r="K50" s="83">
        <v>1578698</v>
      </c>
      <c r="L50" s="83">
        <v>493743</v>
      </c>
      <c r="M50" s="83">
        <v>26159</v>
      </c>
      <c r="N50" s="83">
        <v>857500</v>
      </c>
      <c r="O50" s="83">
        <v>102425</v>
      </c>
      <c r="P50" s="83">
        <v>516406</v>
      </c>
      <c r="Q50" s="83">
        <v>442315</v>
      </c>
      <c r="R50" s="86">
        <v>10124770</v>
      </c>
      <c r="S50" s="75">
        <f t="shared" si="1"/>
        <v>0</v>
      </c>
      <c r="T50" s="9"/>
      <c r="U50" s="80"/>
    </row>
    <row r="51" spans="1:21" ht="20.25" customHeight="1" x14ac:dyDescent="0.4">
      <c r="A51" s="2">
        <v>2011</v>
      </c>
      <c r="B51" s="76" t="s">
        <v>77</v>
      </c>
      <c r="C51" s="83">
        <v>3338163</v>
      </c>
      <c r="D51" s="83">
        <v>2200394</v>
      </c>
      <c r="E51" s="83">
        <v>128133</v>
      </c>
      <c r="F51" s="84">
        <f>10282+5772+1792+272391+24266+42356+3504</f>
        <v>360363</v>
      </c>
      <c r="G51" s="84">
        <v>272391</v>
      </c>
      <c r="H51" s="83">
        <v>36030</v>
      </c>
      <c r="I51" s="85">
        <v>2464</v>
      </c>
      <c r="J51" s="84">
        <f>254140+14457</f>
        <v>268597</v>
      </c>
      <c r="K51" s="83">
        <v>784690</v>
      </c>
      <c r="L51" s="83">
        <v>455592</v>
      </c>
      <c r="M51" s="83">
        <v>14091</v>
      </c>
      <c r="N51" s="83">
        <v>663100</v>
      </c>
      <c r="O51" s="83">
        <v>61129</v>
      </c>
      <c r="P51" s="83">
        <v>504390</v>
      </c>
      <c r="Q51" s="83">
        <v>442265</v>
      </c>
      <c r="R51" s="86">
        <v>9259401</v>
      </c>
      <c r="S51" s="75">
        <f t="shared" si="1"/>
        <v>0</v>
      </c>
      <c r="T51" s="9"/>
      <c r="U51" s="80"/>
    </row>
    <row r="52" spans="1:21" ht="20.25" customHeight="1" x14ac:dyDescent="0.4">
      <c r="A52" s="2">
        <v>2012</v>
      </c>
      <c r="B52" s="76" t="s">
        <v>112</v>
      </c>
      <c r="C52" s="83">
        <v>3344251</v>
      </c>
      <c r="D52" s="83">
        <v>2134302</v>
      </c>
      <c r="E52" s="83">
        <v>116961</v>
      </c>
      <c r="F52" s="84">
        <v>336849</v>
      </c>
      <c r="G52" s="84">
        <v>272380</v>
      </c>
      <c r="H52" s="83">
        <v>35516</v>
      </c>
      <c r="I52" s="85">
        <v>3063</v>
      </c>
      <c r="J52" s="84">
        <v>276910</v>
      </c>
      <c r="K52" s="83">
        <v>646031</v>
      </c>
      <c r="L52" s="83">
        <v>402936</v>
      </c>
      <c r="M52" s="83">
        <v>23115</v>
      </c>
      <c r="N52" s="83">
        <v>996700</v>
      </c>
      <c r="O52" s="83">
        <v>20506</v>
      </c>
      <c r="P52" s="83">
        <v>437776</v>
      </c>
      <c r="Q52" s="83">
        <v>417919</v>
      </c>
      <c r="R52" s="86">
        <v>9192835</v>
      </c>
      <c r="S52" s="75">
        <f t="shared" si="1"/>
        <v>0</v>
      </c>
      <c r="T52" s="9"/>
      <c r="U52" s="80"/>
    </row>
    <row r="53" spans="1:21" s="88" customFormat="1" ht="20.25" customHeight="1" x14ac:dyDescent="0.4">
      <c r="A53" s="88">
        <v>2013</v>
      </c>
      <c r="B53" s="89" t="s">
        <v>79</v>
      </c>
      <c r="C53" s="90">
        <v>3276443</v>
      </c>
      <c r="D53" s="90">
        <v>2088099</v>
      </c>
      <c r="E53" s="90">
        <v>111570</v>
      </c>
      <c r="F53" s="91">
        <v>350667</v>
      </c>
      <c r="G53" s="91">
        <v>270058</v>
      </c>
      <c r="H53" s="90">
        <v>42739</v>
      </c>
      <c r="I53" s="92">
        <v>2148</v>
      </c>
      <c r="J53" s="91">
        <v>253480</v>
      </c>
      <c r="K53" s="90">
        <v>612107</v>
      </c>
      <c r="L53" s="90">
        <v>387162</v>
      </c>
      <c r="M53" s="90">
        <v>14382</v>
      </c>
      <c r="N53" s="90">
        <v>923200</v>
      </c>
      <c r="O53" s="90">
        <v>118870</v>
      </c>
      <c r="P53" s="90">
        <v>458376</v>
      </c>
      <c r="Q53" s="90">
        <v>424530</v>
      </c>
      <c r="R53" s="93">
        <v>9063773</v>
      </c>
      <c r="S53" s="94">
        <f t="shared" si="1"/>
        <v>0</v>
      </c>
      <c r="T53" s="95"/>
      <c r="U53" s="96"/>
    </row>
    <row r="54" spans="1:21" s="88" customFormat="1" ht="20.25" customHeight="1" x14ac:dyDescent="0.4">
      <c r="A54" s="88">
        <v>2014</v>
      </c>
      <c r="B54" s="97" t="s">
        <v>81</v>
      </c>
      <c r="C54" s="98">
        <v>3510604</v>
      </c>
      <c r="D54" s="98">
        <v>2176881</v>
      </c>
      <c r="E54" s="98">
        <v>106353</v>
      </c>
      <c r="F54" s="91">
        <v>391715</v>
      </c>
      <c r="G54" s="91">
        <v>326253</v>
      </c>
      <c r="H54" s="98">
        <v>38172</v>
      </c>
      <c r="I54" s="99">
        <v>7273</v>
      </c>
      <c r="J54" s="91">
        <v>253488</v>
      </c>
      <c r="K54" s="98">
        <v>754300</v>
      </c>
      <c r="L54" s="98">
        <v>449582</v>
      </c>
      <c r="M54" s="98">
        <v>11476</v>
      </c>
      <c r="N54" s="98">
        <v>1515800</v>
      </c>
      <c r="O54" s="98">
        <v>22533</v>
      </c>
      <c r="P54" s="98">
        <v>522588</v>
      </c>
      <c r="Q54" s="98">
        <v>419731</v>
      </c>
      <c r="R54" s="100">
        <v>10180496</v>
      </c>
      <c r="S54" s="94">
        <f t="shared" si="1"/>
        <v>0</v>
      </c>
      <c r="T54" s="95"/>
    </row>
    <row r="55" spans="1:21" s="88" customFormat="1" ht="20.25" customHeight="1" x14ac:dyDescent="0.4">
      <c r="A55" s="88">
        <v>2015</v>
      </c>
      <c r="B55" s="97" t="s">
        <v>82</v>
      </c>
      <c r="C55" s="98">
        <v>3373998</v>
      </c>
      <c r="D55" s="98">
        <v>2121254</v>
      </c>
      <c r="E55" s="98">
        <v>111111</v>
      </c>
      <c r="F55" s="91">
        <v>600502</v>
      </c>
      <c r="G55" s="91">
        <v>529596</v>
      </c>
      <c r="H55" s="98">
        <v>36212</v>
      </c>
      <c r="I55" s="99">
        <v>41911</v>
      </c>
      <c r="J55" s="91">
        <v>237304</v>
      </c>
      <c r="K55" s="98">
        <v>760877</v>
      </c>
      <c r="L55" s="98">
        <v>458055</v>
      </c>
      <c r="M55" s="98">
        <v>32403</v>
      </c>
      <c r="N55" s="98">
        <v>780400</v>
      </c>
      <c r="O55" s="98">
        <v>24166</v>
      </c>
      <c r="P55" s="98">
        <v>429577</v>
      </c>
      <c r="Q55" s="98">
        <v>415920</v>
      </c>
      <c r="R55" s="100">
        <v>9423690</v>
      </c>
      <c r="S55" s="94">
        <f t="shared" si="1"/>
        <v>0</v>
      </c>
      <c r="T55" s="95"/>
    </row>
    <row r="56" spans="1:21" s="88" customFormat="1" ht="20.25" customHeight="1" x14ac:dyDescent="0.4">
      <c r="A56" s="88">
        <v>2016</v>
      </c>
      <c r="B56" s="97" t="s">
        <v>83</v>
      </c>
      <c r="C56" s="98">
        <v>3381829</v>
      </c>
      <c r="D56" s="98">
        <v>2149982</v>
      </c>
      <c r="E56" s="98">
        <v>110327</v>
      </c>
      <c r="F56" s="91">
        <v>530294</v>
      </c>
      <c r="G56" s="91">
        <v>475146</v>
      </c>
      <c r="H56" s="98">
        <v>45879</v>
      </c>
      <c r="I56" s="99">
        <v>78206</v>
      </c>
      <c r="J56" s="91">
        <v>229293</v>
      </c>
      <c r="K56" s="98">
        <v>820229</v>
      </c>
      <c r="L56" s="98">
        <v>466733</v>
      </c>
      <c r="M56" s="98">
        <v>15596</v>
      </c>
      <c r="N56" s="98">
        <v>657200</v>
      </c>
      <c r="O56" s="98">
        <v>39360</v>
      </c>
      <c r="P56" s="98">
        <v>598894</v>
      </c>
      <c r="Q56" s="98">
        <v>412769</v>
      </c>
      <c r="R56" s="100">
        <v>9536591</v>
      </c>
      <c r="S56" s="94">
        <f t="shared" si="1"/>
        <v>0</v>
      </c>
      <c r="T56" s="95"/>
    </row>
    <row r="57" spans="1:21" s="88" customFormat="1" ht="20.25" customHeight="1" x14ac:dyDescent="0.4">
      <c r="A57" s="88">
        <v>2017</v>
      </c>
      <c r="B57" s="97" t="s">
        <v>84</v>
      </c>
      <c r="C57" s="98">
        <v>3412468</v>
      </c>
      <c r="D57" s="98">
        <v>2069164</v>
      </c>
      <c r="E57" s="98">
        <v>109882</v>
      </c>
      <c r="F57" s="91">
        <f>5506+13141+14251+490368+27955+14958+2210</f>
        <v>568389</v>
      </c>
      <c r="G57" s="91">
        <v>490368</v>
      </c>
      <c r="H57" s="98">
        <v>58960</v>
      </c>
      <c r="I57" s="99">
        <v>55154</v>
      </c>
      <c r="J57" s="91">
        <f>209522+13898</f>
        <v>223420</v>
      </c>
      <c r="K57" s="98">
        <v>802421</v>
      </c>
      <c r="L57" s="98">
        <v>503152</v>
      </c>
      <c r="M57" s="98">
        <v>13677</v>
      </c>
      <c r="N57" s="98">
        <v>1305300</v>
      </c>
      <c r="O57" s="98">
        <v>252926</v>
      </c>
      <c r="P57" s="98">
        <v>537509</v>
      </c>
      <c r="Q57" s="98">
        <v>395887</v>
      </c>
      <c r="R57" s="100">
        <v>10308309</v>
      </c>
      <c r="S57" s="94">
        <f t="shared" si="1"/>
        <v>0</v>
      </c>
      <c r="T57" s="95"/>
    </row>
    <row r="58" spans="1:21" s="88" customFormat="1" ht="20.25" customHeight="1" x14ac:dyDescent="0.4">
      <c r="A58" s="88">
        <v>2018</v>
      </c>
      <c r="B58" s="101" t="s">
        <v>85</v>
      </c>
      <c r="C58" s="102">
        <v>3491654</v>
      </c>
      <c r="D58" s="102">
        <v>2086548</v>
      </c>
      <c r="E58" s="102">
        <v>110877</v>
      </c>
      <c r="F58" s="103">
        <v>584225</v>
      </c>
      <c r="G58" s="103">
        <v>511529</v>
      </c>
      <c r="H58" s="102">
        <v>57258</v>
      </c>
      <c r="I58" s="104">
        <v>68236</v>
      </c>
      <c r="J58" s="103">
        <v>228036</v>
      </c>
      <c r="K58" s="102">
        <v>657590</v>
      </c>
      <c r="L58" s="102">
        <v>560118</v>
      </c>
      <c r="M58" s="102">
        <v>22261</v>
      </c>
      <c r="N58" s="102">
        <v>712800</v>
      </c>
      <c r="O58" s="102">
        <v>89057</v>
      </c>
      <c r="P58" s="102">
        <v>598804</v>
      </c>
      <c r="Q58" s="102">
        <v>410640</v>
      </c>
      <c r="R58" s="105">
        <v>9678104</v>
      </c>
      <c r="S58" s="94">
        <f t="shared" si="1"/>
        <v>0</v>
      </c>
      <c r="T58" s="95"/>
    </row>
    <row r="59" spans="1:21" s="88" customFormat="1" ht="20.25" customHeight="1" x14ac:dyDescent="0.4">
      <c r="A59" s="88">
        <v>2019</v>
      </c>
      <c r="B59" s="101" t="s">
        <v>86</v>
      </c>
      <c r="C59" s="102">
        <v>3487546</v>
      </c>
      <c r="D59" s="102">
        <v>2081472</v>
      </c>
      <c r="E59" s="102">
        <v>112740</v>
      </c>
      <c r="F59" s="103">
        <v>657577</v>
      </c>
      <c r="G59" s="103">
        <v>484543</v>
      </c>
      <c r="H59" s="102">
        <v>53782</v>
      </c>
      <c r="I59" s="104">
        <v>44644</v>
      </c>
      <c r="J59" s="103">
        <v>177400</v>
      </c>
      <c r="K59" s="102">
        <v>785895</v>
      </c>
      <c r="L59" s="102">
        <v>562737</v>
      </c>
      <c r="M59" s="102">
        <v>9939</v>
      </c>
      <c r="N59" s="102">
        <v>831400</v>
      </c>
      <c r="O59" s="102">
        <v>70600</v>
      </c>
      <c r="P59" s="102">
        <v>649197</v>
      </c>
      <c r="Q59" s="102">
        <v>435291</v>
      </c>
      <c r="R59" s="105">
        <v>9960220</v>
      </c>
      <c r="S59" s="94">
        <f t="shared" si="1"/>
        <v>0</v>
      </c>
      <c r="T59" s="95"/>
    </row>
    <row r="60" spans="1:21" ht="20.25" customHeight="1" x14ac:dyDescent="0.4">
      <c r="A60" s="2">
        <v>2020</v>
      </c>
      <c r="B60" s="76" t="s">
        <v>87</v>
      </c>
      <c r="C60" s="83">
        <v>3417483</v>
      </c>
      <c r="D60" s="83">
        <v>2394657</v>
      </c>
      <c r="E60" s="83">
        <v>114763</v>
      </c>
      <c r="F60" s="84">
        <v>694314</v>
      </c>
      <c r="G60" s="84">
        <v>588652</v>
      </c>
      <c r="H60" s="83">
        <v>60191</v>
      </c>
      <c r="I60" s="85">
        <v>66238</v>
      </c>
      <c r="J60" s="84">
        <v>108199</v>
      </c>
      <c r="K60" s="83">
        <v>3904639</v>
      </c>
      <c r="L60" s="83">
        <v>646762</v>
      </c>
      <c r="M60" s="83">
        <v>8991</v>
      </c>
      <c r="N60" s="83">
        <v>1128000</v>
      </c>
      <c r="O60" s="83">
        <v>68021</v>
      </c>
      <c r="P60" s="83">
        <v>664656</v>
      </c>
      <c r="Q60" s="83">
        <v>408095</v>
      </c>
      <c r="R60" s="86">
        <v>13685009</v>
      </c>
      <c r="S60" s="94">
        <f t="shared" si="1"/>
        <v>0</v>
      </c>
      <c r="T60" s="9"/>
    </row>
    <row r="61" spans="1:21" ht="20.25" customHeight="1" x14ac:dyDescent="0.4">
      <c r="A61" s="2">
        <v>2021</v>
      </c>
      <c r="B61" s="106" t="s">
        <v>89</v>
      </c>
      <c r="C61" s="107">
        <v>3303263</v>
      </c>
      <c r="D61" s="107">
        <v>2839641</v>
      </c>
      <c r="E61" s="107">
        <v>116579</v>
      </c>
      <c r="F61" s="108">
        <v>839472</v>
      </c>
      <c r="G61" s="108">
        <v>641232</v>
      </c>
      <c r="H61" s="107">
        <v>49912</v>
      </c>
      <c r="I61" s="109">
        <v>246241</v>
      </c>
      <c r="J61" s="108">
        <v>105057</v>
      </c>
      <c r="K61" s="107">
        <v>1776807</v>
      </c>
      <c r="L61" s="107">
        <v>590757</v>
      </c>
      <c r="M61" s="107">
        <v>6039</v>
      </c>
      <c r="N61" s="107">
        <v>1619400</v>
      </c>
      <c r="O61" s="107">
        <v>70270</v>
      </c>
      <c r="P61" s="107">
        <v>968794</v>
      </c>
      <c r="Q61" s="107">
        <v>421132</v>
      </c>
      <c r="R61" s="110">
        <v>12953364</v>
      </c>
      <c r="S61" s="94">
        <f t="shared" ref="S61" si="2">R61-SUM(C61:Q61)+G61</f>
        <v>0</v>
      </c>
      <c r="T61" s="9"/>
    </row>
    <row r="62" spans="1:21" x14ac:dyDescent="0.15">
      <c r="B62" s="111"/>
      <c r="C62" s="111"/>
    </row>
  </sheetData>
  <mergeCells count="17">
    <mergeCell ref="N2:N4"/>
    <mergeCell ref="O2:O4"/>
    <mergeCell ref="P2:P4"/>
    <mergeCell ref="Q2:Q4"/>
    <mergeCell ref="R2:R4"/>
    <mergeCell ref="H2:H4"/>
    <mergeCell ref="I2:I4"/>
    <mergeCell ref="J2:J4"/>
    <mergeCell ref="K2:K4"/>
    <mergeCell ref="L2:L4"/>
    <mergeCell ref="M2:M4"/>
    <mergeCell ref="B2:B4"/>
    <mergeCell ref="C2:C4"/>
    <mergeCell ref="D2:D4"/>
    <mergeCell ref="E2:E4"/>
    <mergeCell ref="F2:F4"/>
    <mergeCell ref="G2:G4"/>
  </mergeCells>
  <phoneticPr fontId="3"/>
  <printOptions horizontalCentered="1"/>
  <pageMargins left="0.39370078740157483" right="0.39370078740157483" top="0.98425196850393704" bottom="0.78740157480314965" header="0.51181102362204722" footer="0.51181102362204722"/>
  <pageSetup paperSize="9" scale="83" fitToHeight="0" orientation="landscape" r:id="rId1"/>
  <headerFooter alignWithMargins="0">
    <oddFooter>&amp;P / &amp;N ページ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view="pageBreakPreview" zoomScale="130" zoomScaleNormal="130" zoomScaleSheetLayoutView="130" workbookViewId="0">
      <pane xSplit="2" ySplit="4" topLeftCell="C5" activePane="bottomRight" state="frozen"/>
      <selection activeCell="M19" sqref="M19"/>
      <selection pane="topRight" activeCell="M19" sqref="M19"/>
      <selection pane="bottomLeft" activeCell="M19" sqref="M19"/>
      <selection pane="bottomRight" activeCell="B1" sqref="B1"/>
    </sheetView>
  </sheetViews>
  <sheetFormatPr defaultColWidth="9.375" defaultRowHeight="12" x14ac:dyDescent="0.15"/>
  <cols>
    <col min="1" max="1" width="6.75" style="2" customWidth="1"/>
    <col min="2" max="2" width="9.875" style="2" customWidth="1"/>
    <col min="3" max="3" width="10.25" style="2" customWidth="1"/>
    <col min="4" max="4" width="9.75" style="2" customWidth="1"/>
    <col min="5" max="6" width="10.25" style="2" customWidth="1"/>
    <col min="7" max="7" width="9.75" style="2" customWidth="1"/>
    <col min="8" max="9" width="7.625" style="2" customWidth="1"/>
    <col min="10" max="10" width="8.5" style="2" customWidth="1"/>
    <col min="11" max="11" width="6.75" style="2" customWidth="1"/>
    <col min="12" max="12" width="8" style="2" customWidth="1"/>
    <col min="13" max="13" width="10.25" style="2" customWidth="1"/>
    <col min="14" max="16" width="5.875" style="2" customWidth="1"/>
    <col min="17" max="17" width="9.25" style="2" customWidth="1"/>
    <col min="18" max="18" width="8.5" style="2" customWidth="1"/>
    <col min="19" max="16384" width="9.375" style="2"/>
  </cols>
  <sheetData>
    <row r="1" spans="2:20" ht="20.45" customHeight="1" x14ac:dyDescent="0.15">
      <c r="B1" s="1" t="s">
        <v>113</v>
      </c>
    </row>
    <row r="2" spans="2:20" s="9" customFormat="1" x14ac:dyDescent="0.15">
      <c r="B2" s="65" t="s">
        <v>94</v>
      </c>
      <c r="C2" s="65" t="s">
        <v>114</v>
      </c>
      <c r="D2" s="65" t="s">
        <v>115</v>
      </c>
      <c r="E2" s="65" t="s">
        <v>116</v>
      </c>
      <c r="F2" s="65" t="s">
        <v>117</v>
      </c>
      <c r="G2" s="65" t="s">
        <v>118</v>
      </c>
      <c r="H2" s="65" t="s">
        <v>119</v>
      </c>
      <c r="I2" s="65" t="s">
        <v>120</v>
      </c>
      <c r="J2" s="65" t="s">
        <v>121</v>
      </c>
      <c r="K2" s="65" t="s">
        <v>122</v>
      </c>
      <c r="L2" s="66" t="s">
        <v>123</v>
      </c>
      <c r="M2" s="65" t="s">
        <v>124</v>
      </c>
      <c r="N2" s="112" t="s">
        <v>125</v>
      </c>
      <c r="O2" s="113"/>
      <c r="P2" s="114"/>
    </row>
    <row r="3" spans="2:20" s="9" customFormat="1" x14ac:dyDescent="0.15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115"/>
      <c r="O3" s="116"/>
      <c r="P3" s="117"/>
    </row>
    <row r="4" spans="2:20" s="9" customFormat="1" x14ac:dyDescent="0.15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118" t="s">
        <v>126</v>
      </c>
      <c r="O4" s="118" t="s">
        <v>127</v>
      </c>
      <c r="P4" s="118" t="s">
        <v>128</v>
      </c>
      <c r="Q4" s="9" t="s">
        <v>110</v>
      </c>
    </row>
    <row r="5" spans="2:20" x14ac:dyDescent="0.15">
      <c r="B5" s="71" t="s">
        <v>25</v>
      </c>
      <c r="C5" s="72" t="s">
        <v>129</v>
      </c>
      <c r="D5" s="72" t="s">
        <v>129</v>
      </c>
      <c r="E5" s="72">
        <v>30534</v>
      </c>
      <c r="F5" s="72">
        <v>28251</v>
      </c>
      <c r="G5" s="72">
        <v>3501</v>
      </c>
      <c r="H5" s="73" t="s">
        <v>26</v>
      </c>
      <c r="I5" s="72">
        <v>7079</v>
      </c>
      <c r="J5" s="72">
        <v>4490</v>
      </c>
      <c r="K5" s="72">
        <v>287</v>
      </c>
      <c r="L5" s="72">
        <v>1837</v>
      </c>
      <c r="M5" s="119">
        <v>75979</v>
      </c>
      <c r="N5" s="120">
        <v>99</v>
      </c>
      <c r="O5" s="120">
        <v>22.1</v>
      </c>
      <c r="P5" s="121">
        <v>94.799999999999898</v>
      </c>
      <c r="Q5" s="75">
        <f>SUM(C5:L5)-M5</f>
        <v>0</v>
      </c>
      <c r="R5" s="9"/>
      <c r="S5" s="9"/>
      <c r="T5" s="9"/>
    </row>
    <row r="6" spans="2:20" x14ac:dyDescent="0.15">
      <c r="B6" s="76" t="s">
        <v>28</v>
      </c>
      <c r="C6" s="77" t="s">
        <v>129</v>
      </c>
      <c r="D6" s="77" t="s">
        <v>129</v>
      </c>
      <c r="E6" s="77">
        <v>28559</v>
      </c>
      <c r="F6" s="77">
        <v>30658</v>
      </c>
      <c r="G6" s="77">
        <v>4118</v>
      </c>
      <c r="H6" s="78" t="s">
        <v>26</v>
      </c>
      <c r="I6" s="77">
        <v>7965</v>
      </c>
      <c r="J6" s="77">
        <v>4946</v>
      </c>
      <c r="K6" s="77">
        <v>279</v>
      </c>
      <c r="L6" s="77">
        <v>2493</v>
      </c>
      <c r="M6" s="122">
        <v>76920</v>
      </c>
      <c r="N6" s="123">
        <v>98.4</v>
      </c>
      <c r="O6" s="123">
        <v>49.899999999999899</v>
      </c>
      <c r="P6" s="124">
        <v>95.7</v>
      </c>
      <c r="Q6" s="75">
        <f>SUM(C6:L6)-M6</f>
        <v>2098</v>
      </c>
      <c r="R6" s="9"/>
      <c r="S6" s="9"/>
      <c r="T6" s="9"/>
    </row>
    <row r="7" spans="2:20" x14ac:dyDescent="0.15">
      <c r="B7" s="76" t="s">
        <v>29</v>
      </c>
      <c r="C7" s="77" t="s">
        <v>129</v>
      </c>
      <c r="D7" s="77" t="s">
        <v>129</v>
      </c>
      <c r="E7" s="77">
        <v>42463</v>
      </c>
      <c r="F7" s="77">
        <v>32310</v>
      </c>
      <c r="G7" s="77">
        <v>4663</v>
      </c>
      <c r="H7" s="78" t="s">
        <v>26</v>
      </c>
      <c r="I7" s="77">
        <v>11126</v>
      </c>
      <c r="J7" s="77">
        <v>5928</v>
      </c>
      <c r="K7" s="77">
        <v>571</v>
      </c>
      <c r="L7" s="77">
        <v>2272</v>
      </c>
      <c r="M7" s="122">
        <v>1</v>
      </c>
      <c r="N7" s="123">
        <v>99.7</v>
      </c>
      <c r="O7" s="123">
        <v>56.299999999999898</v>
      </c>
      <c r="P7" s="124">
        <v>98.599999999999895</v>
      </c>
      <c r="Q7" s="75">
        <f>SUM(C7:L7)-M7</f>
        <v>99332</v>
      </c>
      <c r="R7" s="9"/>
      <c r="S7" s="9"/>
      <c r="T7" s="9"/>
    </row>
    <row r="8" spans="2:20" x14ac:dyDescent="0.15">
      <c r="B8" s="76" t="s">
        <v>30</v>
      </c>
      <c r="C8" s="77">
        <f>1178+32991</f>
        <v>34169</v>
      </c>
      <c r="D8" s="77">
        <f>664+9514</f>
        <v>10178</v>
      </c>
      <c r="E8" s="77">
        <v>44347</v>
      </c>
      <c r="F8" s="77">
        <v>34529</v>
      </c>
      <c r="G8" s="77">
        <v>5398</v>
      </c>
      <c r="H8" s="78" t="s">
        <v>26</v>
      </c>
      <c r="I8" s="77">
        <v>11831</v>
      </c>
      <c r="J8" s="77">
        <v>7153</v>
      </c>
      <c r="K8" s="77">
        <v>157</v>
      </c>
      <c r="L8" s="77">
        <v>2617</v>
      </c>
      <c r="M8" s="122">
        <v>3</v>
      </c>
      <c r="N8" s="123">
        <v>99.599999999999895</v>
      </c>
      <c r="O8" s="123">
        <v>54.7</v>
      </c>
      <c r="P8" s="124">
        <v>99.099999999999895</v>
      </c>
      <c r="Q8" s="75">
        <f>SUM(C8:L8)-M8-E8</f>
        <v>106029</v>
      </c>
      <c r="R8" s="9"/>
      <c r="S8" s="9"/>
      <c r="T8" s="9"/>
    </row>
    <row r="9" spans="2:20" x14ac:dyDescent="0.15">
      <c r="B9" s="76" t="s">
        <v>31</v>
      </c>
      <c r="C9" s="77">
        <f>1189+32534</f>
        <v>33723</v>
      </c>
      <c r="D9" s="77">
        <f>744+16378</f>
        <v>17122</v>
      </c>
      <c r="E9" s="77">
        <v>50845</v>
      </c>
      <c r="F9" s="77">
        <v>36801</v>
      </c>
      <c r="G9" s="77">
        <v>6084</v>
      </c>
      <c r="H9" s="78" t="s">
        <v>26</v>
      </c>
      <c r="I9" s="77">
        <v>14659</v>
      </c>
      <c r="J9" s="77">
        <v>8351</v>
      </c>
      <c r="K9" s="77">
        <v>234</v>
      </c>
      <c r="L9" s="77">
        <v>2876</v>
      </c>
      <c r="M9" s="122">
        <v>5</v>
      </c>
      <c r="N9" s="123">
        <v>99.5</v>
      </c>
      <c r="O9" s="123">
        <v>45.899999999999899</v>
      </c>
      <c r="P9" s="124">
        <v>99.2</v>
      </c>
      <c r="Q9" s="75">
        <f>SUM(C9:L9)-M9-E9</f>
        <v>119845</v>
      </c>
      <c r="R9" s="9"/>
      <c r="S9" s="9"/>
      <c r="T9" s="9"/>
    </row>
    <row r="10" spans="2:20" x14ac:dyDescent="0.15">
      <c r="B10" s="76" t="s">
        <v>32</v>
      </c>
      <c r="C10" s="77">
        <v>41212</v>
      </c>
      <c r="D10" s="77">
        <v>23811</v>
      </c>
      <c r="E10" s="77">
        <v>65023</v>
      </c>
      <c r="F10" s="77">
        <v>47917</v>
      </c>
      <c r="G10" s="77">
        <v>7044</v>
      </c>
      <c r="H10" s="78" t="s">
        <v>26</v>
      </c>
      <c r="I10" s="77">
        <v>15229</v>
      </c>
      <c r="J10" s="77">
        <v>9534</v>
      </c>
      <c r="K10" s="77">
        <v>165</v>
      </c>
      <c r="L10" s="77">
        <v>17</v>
      </c>
      <c r="M10" s="122">
        <v>7</v>
      </c>
      <c r="N10" s="123">
        <v>99.599999999999895</v>
      </c>
      <c r="O10" s="123">
        <v>56.7</v>
      </c>
      <c r="P10" s="124">
        <v>99.5</v>
      </c>
      <c r="Q10" s="75">
        <f>SUM(C10:L10)-M10-E10</f>
        <v>144922</v>
      </c>
      <c r="R10" s="9"/>
      <c r="S10" s="9"/>
      <c r="T10" s="9"/>
    </row>
    <row r="11" spans="2:20" x14ac:dyDescent="0.15">
      <c r="B11" s="76" t="s">
        <v>33</v>
      </c>
      <c r="C11" s="77" t="s">
        <v>130</v>
      </c>
      <c r="D11" s="77" t="s">
        <v>129</v>
      </c>
      <c r="E11" s="77">
        <v>65052</v>
      </c>
      <c r="F11" s="77">
        <v>60230</v>
      </c>
      <c r="G11" s="77">
        <v>7617</v>
      </c>
      <c r="H11" s="78" t="s">
        <v>26</v>
      </c>
      <c r="I11" s="77">
        <v>17218</v>
      </c>
      <c r="J11" s="77">
        <v>11053</v>
      </c>
      <c r="K11" s="77">
        <v>164</v>
      </c>
      <c r="L11" s="77">
        <v>2</v>
      </c>
      <c r="M11" s="122">
        <v>9</v>
      </c>
      <c r="N11" s="123">
        <v>99.5</v>
      </c>
      <c r="O11" s="123">
        <v>53.2</v>
      </c>
      <c r="P11" s="124">
        <v>99.2</v>
      </c>
      <c r="Q11" s="75">
        <f>SUM(C11:L11)-M11</f>
        <v>161327</v>
      </c>
      <c r="R11" s="9"/>
      <c r="S11" s="9"/>
      <c r="T11" s="9"/>
    </row>
    <row r="12" spans="2:20" x14ac:dyDescent="0.15">
      <c r="B12" s="76" t="s">
        <v>34</v>
      </c>
      <c r="C12" s="77">
        <v>62828</v>
      </c>
      <c r="D12" s="77">
        <v>22571</v>
      </c>
      <c r="E12" s="77">
        <v>85399</v>
      </c>
      <c r="F12" s="77">
        <v>66926</v>
      </c>
      <c r="G12" s="77">
        <v>7758</v>
      </c>
      <c r="H12" s="78" t="s">
        <v>26</v>
      </c>
      <c r="I12" s="77">
        <v>19181</v>
      </c>
      <c r="J12" s="77">
        <v>12672</v>
      </c>
      <c r="K12" s="77">
        <v>200</v>
      </c>
      <c r="L12" s="77">
        <v>1</v>
      </c>
      <c r="M12" s="122">
        <v>11</v>
      </c>
      <c r="N12" s="123">
        <v>99.7</v>
      </c>
      <c r="O12" s="123">
        <v>57.399999999999899</v>
      </c>
      <c r="P12" s="124">
        <v>99.4</v>
      </c>
      <c r="Q12" s="75">
        <f>SUM(C12:L12)-M12-E12</f>
        <v>192126</v>
      </c>
      <c r="R12" s="9"/>
      <c r="S12" s="9"/>
      <c r="T12" s="9"/>
    </row>
    <row r="13" spans="2:20" x14ac:dyDescent="0.15">
      <c r="B13" s="76" t="s">
        <v>35</v>
      </c>
      <c r="C13" s="77">
        <v>79967</v>
      </c>
      <c r="D13" s="77">
        <v>42398</v>
      </c>
      <c r="E13" s="77">
        <v>122365</v>
      </c>
      <c r="F13" s="77">
        <v>77587</v>
      </c>
      <c r="G13" s="77">
        <v>8077</v>
      </c>
      <c r="H13" s="78" t="s">
        <v>26</v>
      </c>
      <c r="I13" s="77">
        <v>21012</v>
      </c>
      <c r="J13" s="77">
        <v>14075</v>
      </c>
      <c r="K13" s="77">
        <v>236</v>
      </c>
      <c r="L13" s="77">
        <v>1</v>
      </c>
      <c r="M13" s="122">
        <v>13</v>
      </c>
      <c r="N13" s="123">
        <v>99.799999999999898</v>
      </c>
      <c r="O13" s="123">
        <v>65.5</v>
      </c>
      <c r="P13" s="124">
        <v>99.599999999999895</v>
      </c>
      <c r="Q13" s="75">
        <f t="shared" ref="Q13:Q48" si="0">SUM(C13:L13)-M13-E13</f>
        <v>243340</v>
      </c>
      <c r="R13" s="9"/>
      <c r="S13" s="9"/>
      <c r="T13" s="9"/>
    </row>
    <row r="14" spans="2:20" x14ac:dyDescent="0.15">
      <c r="B14" s="76" t="s">
        <v>36</v>
      </c>
      <c r="C14" s="77">
        <v>127704</v>
      </c>
      <c r="D14" s="77">
        <v>84259</v>
      </c>
      <c r="E14" s="77">
        <v>211963</v>
      </c>
      <c r="F14" s="77">
        <v>97247</v>
      </c>
      <c r="G14" s="77">
        <v>7965</v>
      </c>
      <c r="H14" s="78" t="s">
        <v>26</v>
      </c>
      <c r="I14" s="77">
        <v>20912</v>
      </c>
      <c r="J14" s="77">
        <v>17376</v>
      </c>
      <c r="K14" s="77">
        <v>6020</v>
      </c>
      <c r="L14" s="77">
        <v>1</v>
      </c>
      <c r="M14" s="122">
        <v>15</v>
      </c>
      <c r="N14" s="123">
        <v>99.9</v>
      </c>
      <c r="O14" s="123">
        <v>57.5</v>
      </c>
      <c r="P14" s="124">
        <v>99.799999999999898</v>
      </c>
      <c r="Q14" s="75">
        <f t="shared" si="0"/>
        <v>361469</v>
      </c>
      <c r="R14" s="9"/>
      <c r="S14" s="9"/>
      <c r="T14" s="9"/>
    </row>
    <row r="15" spans="2:20" x14ac:dyDescent="0.15">
      <c r="B15" s="76" t="s">
        <v>37</v>
      </c>
      <c r="C15" s="77">
        <v>131020</v>
      </c>
      <c r="D15" s="77">
        <v>94779</v>
      </c>
      <c r="E15" s="77">
        <v>225799</v>
      </c>
      <c r="F15" s="77">
        <v>129537</v>
      </c>
      <c r="G15" s="77">
        <v>8074</v>
      </c>
      <c r="H15" s="78" t="s">
        <v>26</v>
      </c>
      <c r="I15" s="77">
        <v>23617</v>
      </c>
      <c r="J15" s="77">
        <v>20150</v>
      </c>
      <c r="K15" s="77">
        <v>4363</v>
      </c>
      <c r="L15" s="78" t="s">
        <v>26</v>
      </c>
      <c r="M15" s="122">
        <v>16</v>
      </c>
      <c r="N15" s="123">
        <v>99.9</v>
      </c>
      <c r="O15" s="123">
        <v>45</v>
      </c>
      <c r="P15" s="124">
        <v>99.9</v>
      </c>
      <c r="Q15" s="75">
        <f t="shared" si="0"/>
        <v>411524</v>
      </c>
      <c r="R15" s="9"/>
      <c r="S15" s="9"/>
      <c r="T15" s="9"/>
    </row>
    <row r="16" spans="2:20" x14ac:dyDescent="0.15">
      <c r="B16" s="76" t="s">
        <v>38</v>
      </c>
      <c r="C16" s="77">
        <v>152523</v>
      </c>
      <c r="D16" s="77">
        <v>80170</v>
      </c>
      <c r="E16" s="77">
        <v>232693</v>
      </c>
      <c r="F16" s="77">
        <v>171624</v>
      </c>
      <c r="G16" s="77">
        <v>10535</v>
      </c>
      <c r="H16" s="78" t="s">
        <v>26</v>
      </c>
      <c r="I16" s="77">
        <v>24871</v>
      </c>
      <c r="J16" s="77">
        <v>26768</v>
      </c>
      <c r="K16" s="77">
        <v>5913</v>
      </c>
      <c r="L16" s="78" t="s">
        <v>26</v>
      </c>
      <c r="M16" s="122">
        <v>17</v>
      </c>
      <c r="N16" s="123">
        <v>99.799999999999898</v>
      </c>
      <c r="O16" s="123">
        <v>39.899999999999899</v>
      </c>
      <c r="P16" s="124">
        <v>99.799999999999898</v>
      </c>
      <c r="Q16" s="75">
        <f t="shared" si="0"/>
        <v>472387</v>
      </c>
      <c r="R16" s="9"/>
      <c r="S16" s="9"/>
      <c r="T16" s="9"/>
    </row>
    <row r="17" spans="1:20" x14ac:dyDescent="0.15">
      <c r="B17" s="76" t="s">
        <v>39</v>
      </c>
      <c r="C17" s="77">
        <v>203611</v>
      </c>
      <c r="D17" s="77">
        <v>131793</v>
      </c>
      <c r="E17" s="77">
        <v>335404</v>
      </c>
      <c r="F17" s="77">
        <v>213861</v>
      </c>
      <c r="G17" s="77">
        <v>10963</v>
      </c>
      <c r="H17" s="78" t="s">
        <v>26</v>
      </c>
      <c r="I17" s="77">
        <v>38837</v>
      </c>
      <c r="J17" s="77">
        <v>33775</v>
      </c>
      <c r="K17" s="77">
        <v>3863</v>
      </c>
      <c r="L17" s="78" t="s">
        <v>26</v>
      </c>
      <c r="M17" s="122">
        <v>19</v>
      </c>
      <c r="N17" s="123">
        <v>99.599999999999895</v>
      </c>
      <c r="O17" s="123">
        <v>39.399999999999899</v>
      </c>
      <c r="P17" s="124">
        <v>99.5</v>
      </c>
      <c r="Q17" s="75">
        <f t="shared" si="0"/>
        <v>636684</v>
      </c>
      <c r="R17" s="9"/>
      <c r="S17" s="9"/>
      <c r="T17" s="9"/>
    </row>
    <row r="18" spans="1:20" x14ac:dyDescent="0.15">
      <c r="B18" s="76" t="s">
        <v>40</v>
      </c>
      <c r="C18" s="77">
        <v>255077</v>
      </c>
      <c r="D18" s="77">
        <v>171696</v>
      </c>
      <c r="E18" s="77">
        <v>426773</v>
      </c>
      <c r="F18" s="77">
        <v>261919</v>
      </c>
      <c r="G18" s="77">
        <v>11640</v>
      </c>
      <c r="H18" s="78" t="s">
        <v>26</v>
      </c>
      <c r="I18" s="77">
        <v>40492</v>
      </c>
      <c r="J18" s="77">
        <v>36390</v>
      </c>
      <c r="K18" s="77">
        <v>3029</v>
      </c>
      <c r="L18" s="78" t="s">
        <v>26</v>
      </c>
      <c r="M18" s="122">
        <v>21</v>
      </c>
      <c r="N18" s="123">
        <v>99.599999999999895</v>
      </c>
      <c r="O18" s="123">
        <v>89.9</v>
      </c>
      <c r="P18" s="124">
        <v>99.9</v>
      </c>
      <c r="Q18" s="75">
        <f t="shared" si="0"/>
        <v>780222</v>
      </c>
      <c r="R18" s="9"/>
      <c r="S18" s="9"/>
      <c r="T18" s="9"/>
    </row>
    <row r="19" spans="1:20" x14ac:dyDescent="0.15">
      <c r="B19" s="76" t="s">
        <v>41</v>
      </c>
      <c r="C19" s="77">
        <v>291152</v>
      </c>
      <c r="D19" s="77">
        <v>142496</v>
      </c>
      <c r="E19" s="77">
        <v>433648</v>
      </c>
      <c r="F19" s="77">
        <v>298736</v>
      </c>
      <c r="G19" s="77">
        <v>13627</v>
      </c>
      <c r="H19" s="78" t="s">
        <v>26</v>
      </c>
      <c r="I19" s="77">
        <v>41007</v>
      </c>
      <c r="J19" s="77">
        <v>42119</v>
      </c>
      <c r="K19" s="77">
        <v>3651</v>
      </c>
      <c r="L19" s="78" t="s">
        <v>26</v>
      </c>
      <c r="M19" s="122">
        <v>832788</v>
      </c>
      <c r="N19" s="123">
        <v>99.9</v>
      </c>
      <c r="O19" s="123">
        <v>36.399999999999899</v>
      </c>
      <c r="P19" s="124">
        <v>99.799999999999898</v>
      </c>
      <c r="Q19" s="75">
        <f t="shared" si="0"/>
        <v>0</v>
      </c>
      <c r="R19" s="9"/>
      <c r="S19" s="9"/>
      <c r="T19" s="9"/>
    </row>
    <row r="20" spans="1:20" x14ac:dyDescent="0.15">
      <c r="B20" s="76" t="s">
        <v>42</v>
      </c>
      <c r="C20" s="77">
        <v>345231</v>
      </c>
      <c r="D20" s="77">
        <v>115242</v>
      </c>
      <c r="E20" s="77">
        <v>460473</v>
      </c>
      <c r="F20" s="77">
        <v>349644</v>
      </c>
      <c r="G20" s="77">
        <v>14781</v>
      </c>
      <c r="H20" s="78" t="s">
        <v>26</v>
      </c>
      <c r="I20" s="77">
        <v>41193</v>
      </c>
      <c r="J20" s="77">
        <v>63491</v>
      </c>
      <c r="K20" s="77">
        <v>3811</v>
      </c>
      <c r="L20" s="78" t="s">
        <v>26</v>
      </c>
      <c r="M20" s="122">
        <v>933393</v>
      </c>
      <c r="N20" s="123">
        <v>99.5</v>
      </c>
      <c r="O20" s="123">
        <v>38.5</v>
      </c>
      <c r="P20" s="124">
        <v>99.4</v>
      </c>
      <c r="Q20" s="75">
        <f t="shared" si="0"/>
        <v>0</v>
      </c>
      <c r="R20" s="9"/>
      <c r="S20" s="9"/>
      <c r="T20" s="9"/>
    </row>
    <row r="21" spans="1:20" x14ac:dyDescent="0.15">
      <c r="A21" s="2">
        <v>1981</v>
      </c>
      <c r="B21" s="76" t="s">
        <v>43</v>
      </c>
      <c r="C21" s="77">
        <v>420045</v>
      </c>
      <c r="D21" s="77">
        <v>223358</v>
      </c>
      <c r="E21" s="77">
        <v>643403</v>
      </c>
      <c r="F21" s="77">
        <v>381130</v>
      </c>
      <c r="G21" s="77">
        <v>15299</v>
      </c>
      <c r="H21" s="78" t="s">
        <v>26</v>
      </c>
      <c r="I21" s="77">
        <v>49794</v>
      </c>
      <c r="J21" s="77">
        <v>73865</v>
      </c>
      <c r="K21" s="77">
        <v>3133</v>
      </c>
      <c r="L21" s="78" t="s">
        <v>26</v>
      </c>
      <c r="M21" s="122">
        <v>1166624</v>
      </c>
      <c r="N21" s="123">
        <v>99.4</v>
      </c>
      <c r="O21" s="123">
        <v>31.5</v>
      </c>
      <c r="P21" s="124">
        <v>99.099999999999895</v>
      </c>
      <c r="Q21" s="75">
        <f t="shared" si="0"/>
        <v>0</v>
      </c>
      <c r="R21" s="9"/>
      <c r="S21" s="9"/>
      <c r="T21" s="9"/>
    </row>
    <row r="22" spans="1:20" x14ac:dyDescent="0.15">
      <c r="A22" s="2">
        <v>1982</v>
      </c>
      <c r="B22" s="76" t="s">
        <v>44</v>
      </c>
      <c r="C22" s="77">
        <v>513854</v>
      </c>
      <c r="D22" s="77">
        <v>179779</v>
      </c>
      <c r="E22" s="77">
        <v>693633</v>
      </c>
      <c r="F22" s="77">
        <v>455912</v>
      </c>
      <c r="G22" s="77">
        <v>16904</v>
      </c>
      <c r="H22" s="78" t="s">
        <v>26</v>
      </c>
      <c r="I22" s="77">
        <v>55328</v>
      </c>
      <c r="J22" s="77">
        <v>80976</v>
      </c>
      <c r="K22" s="77">
        <v>1675</v>
      </c>
      <c r="L22" s="78" t="s">
        <v>26</v>
      </c>
      <c r="M22" s="122">
        <v>1304428</v>
      </c>
      <c r="N22" s="123">
        <v>99.2</v>
      </c>
      <c r="O22" s="123">
        <v>35.6</v>
      </c>
      <c r="P22" s="124">
        <v>98.7</v>
      </c>
      <c r="Q22" s="75">
        <f t="shared" si="0"/>
        <v>0</v>
      </c>
      <c r="R22" s="9"/>
      <c r="S22" s="9"/>
      <c r="T22" s="9"/>
    </row>
    <row r="23" spans="1:20" x14ac:dyDescent="0.15">
      <c r="A23" s="2">
        <v>1983</v>
      </c>
      <c r="B23" s="76" t="s">
        <v>45</v>
      </c>
      <c r="C23" s="77">
        <v>567915</v>
      </c>
      <c r="D23" s="77">
        <v>210196</v>
      </c>
      <c r="E23" s="77">
        <v>778111</v>
      </c>
      <c r="F23" s="77">
        <v>512757</v>
      </c>
      <c r="G23" s="77">
        <v>18241</v>
      </c>
      <c r="H23" s="78" t="s">
        <v>26</v>
      </c>
      <c r="I23" s="77">
        <v>57130</v>
      </c>
      <c r="J23" s="77">
        <v>97938</v>
      </c>
      <c r="K23" s="77">
        <v>1711</v>
      </c>
      <c r="L23" s="78" t="s">
        <v>26</v>
      </c>
      <c r="M23" s="122">
        <v>1465888</v>
      </c>
      <c r="N23" s="123">
        <v>99.4</v>
      </c>
      <c r="O23" s="123">
        <v>25.899999999999899</v>
      </c>
      <c r="P23" s="124">
        <v>98.7</v>
      </c>
      <c r="Q23" s="75">
        <f t="shared" si="0"/>
        <v>0</v>
      </c>
      <c r="R23" s="9"/>
      <c r="S23" s="9"/>
      <c r="T23" s="9"/>
    </row>
    <row r="24" spans="1:20" x14ac:dyDescent="0.15">
      <c r="A24" s="2">
        <v>1984</v>
      </c>
      <c r="B24" s="76" t="s">
        <v>46</v>
      </c>
      <c r="C24" s="77">
        <v>580393</v>
      </c>
      <c r="D24" s="77">
        <v>329557</v>
      </c>
      <c r="E24" s="77">
        <v>909950</v>
      </c>
      <c r="F24" s="77">
        <v>570721</v>
      </c>
      <c r="G24" s="77">
        <v>22247</v>
      </c>
      <c r="H24" s="78" t="s">
        <v>26</v>
      </c>
      <c r="I24" s="77">
        <v>60653</v>
      </c>
      <c r="J24" s="77">
        <v>119495</v>
      </c>
      <c r="K24" s="77">
        <v>1661</v>
      </c>
      <c r="L24" s="78" t="s">
        <v>26</v>
      </c>
      <c r="M24" s="122">
        <v>1684727</v>
      </c>
      <c r="N24" s="123">
        <v>99.5</v>
      </c>
      <c r="O24" s="123">
        <v>30.1999999999999</v>
      </c>
      <c r="P24" s="124">
        <v>98.9</v>
      </c>
      <c r="Q24" s="75">
        <f t="shared" si="0"/>
        <v>0</v>
      </c>
      <c r="R24" s="9"/>
      <c r="S24" s="9"/>
      <c r="T24" s="9"/>
    </row>
    <row r="25" spans="1:20" x14ac:dyDescent="0.15">
      <c r="A25" s="2">
        <v>1985</v>
      </c>
      <c r="B25" s="76" t="s">
        <v>47</v>
      </c>
      <c r="C25" s="77">
        <v>679123</v>
      </c>
      <c r="D25" s="77">
        <v>296572</v>
      </c>
      <c r="E25" s="77">
        <v>975695</v>
      </c>
      <c r="F25" s="77">
        <v>689982</v>
      </c>
      <c r="G25" s="77">
        <v>23633</v>
      </c>
      <c r="H25" s="78" t="s">
        <v>26</v>
      </c>
      <c r="I25" s="77">
        <v>63029</v>
      </c>
      <c r="J25" s="77">
        <v>138578</v>
      </c>
      <c r="K25" s="77">
        <v>1022</v>
      </c>
      <c r="L25" s="78" t="s">
        <v>26</v>
      </c>
      <c r="M25" s="122">
        <v>1891939</v>
      </c>
      <c r="N25" s="123">
        <v>99.4</v>
      </c>
      <c r="O25" s="123">
        <v>22.899999999999899</v>
      </c>
      <c r="P25" s="124">
        <v>98.599999999999895</v>
      </c>
      <c r="Q25" s="75">
        <f t="shared" si="0"/>
        <v>0</v>
      </c>
      <c r="R25" s="9"/>
      <c r="S25" s="9"/>
      <c r="T25" s="9"/>
    </row>
    <row r="26" spans="1:20" x14ac:dyDescent="0.15">
      <c r="A26" s="2">
        <v>1986</v>
      </c>
      <c r="B26" s="76" t="s">
        <v>48</v>
      </c>
      <c r="C26" s="77">
        <v>738047</v>
      </c>
      <c r="D26" s="77">
        <v>236043</v>
      </c>
      <c r="E26" s="77">
        <v>974090</v>
      </c>
      <c r="F26" s="77">
        <v>786030</v>
      </c>
      <c r="G26" s="77">
        <v>24984</v>
      </c>
      <c r="H26" s="78" t="s">
        <v>26</v>
      </c>
      <c r="I26" s="77">
        <v>71620</v>
      </c>
      <c r="J26" s="77">
        <v>133283</v>
      </c>
      <c r="K26" s="77">
        <v>749</v>
      </c>
      <c r="L26" s="78" t="s">
        <v>26</v>
      </c>
      <c r="M26" s="122">
        <v>1990756</v>
      </c>
      <c r="N26" s="123">
        <v>99.299999999999898</v>
      </c>
      <c r="O26" s="123">
        <v>28</v>
      </c>
      <c r="P26" s="124">
        <v>98.4</v>
      </c>
      <c r="Q26" s="75">
        <f t="shared" si="0"/>
        <v>0</v>
      </c>
      <c r="R26" s="9"/>
      <c r="S26" s="9"/>
      <c r="T26" s="9"/>
    </row>
    <row r="27" spans="1:20" x14ac:dyDescent="0.15">
      <c r="A27" s="2">
        <v>1987</v>
      </c>
      <c r="B27" s="76" t="s">
        <v>49</v>
      </c>
      <c r="C27" s="77">
        <v>753628</v>
      </c>
      <c r="D27" s="77">
        <v>188672</v>
      </c>
      <c r="E27" s="77">
        <v>942300</v>
      </c>
      <c r="F27" s="77">
        <v>841890</v>
      </c>
      <c r="G27" s="77">
        <v>26237</v>
      </c>
      <c r="H27" s="78" t="s">
        <v>26</v>
      </c>
      <c r="I27" s="77">
        <v>71242</v>
      </c>
      <c r="J27" s="77">
        <v>128521</v>
      </c>
      <c r="K27" s="77">
        <v>311</v>
      </c>
      <c r="L27" s="78" t="s">
        <v>26</v>
      </c>
      <c r="M27" s="122">
        <v>2010501</v>
      </c>
      <c r="N27" s="123">
        <v>99.299999999999898</v>
      </c>
      <c r="O27" s="123">
        <v>24.5</v>
      </c>
      <c r="P27" s="124">
        <v>98.099999999999895</v>
      </c>
      <c r="Q27" s="75">
        <f t="shared" si="0"/>
        <v>0</v>
      </c>
      <c r="R27" s="9"/>
      <c r="S27" s="9"/>
      <c r="T27" s="9"/>
    </row>
    <row r="28" spans="1:20" x14ac:dyDescent="0.15">
      <c r="A28" s="2">
        <v>1988</v>
      </c>
      <c r="B28" s="76" t="s">
        <v>50</v>
      </c>
      <c r="C28" s="77">
        <v>730377</v>
      </c>
      <c r="D28" s="77">
        <v>331242</v>
      </c>
      <c r="E28" s="77">
        <v>1061619</v>
      </c>
      <c r="F28" s="77">
        <v>889121</v>
      </c>
      <c r="G28" s="77">
        <v>27315</v>
      </c>
      <c r="H28" s="78" t="s">
        <v>26</v>
      </c>
      <c r="I28" s="77">
        <v>73351</v>
      </c>
      <c r="J28" s="77">
        <v>132231</v>
      </c>
      <c r="K28" s="77">
        <v>311</v>
      </c>
      <c r="L28" s="78" t="s">
        <v>26</v>
      </c>
      <c r="M28" s="122">
        <v>2183948</v>
      </c>
      <c r="N28" s="123">
        <v>99.299999999999898</v>
      </c>
      <c r="O28" s="123">
        <v>18.8</v>
      </c>
      <c r="P28" s="124">
        <v>98</v>
      </c>
      <c r="Q28" s="75">
        <f t="shared" si="0"/>
        <v>0</v>
      </c>
      <c r="R28" s="9"/>
      <c r="S28" s="9"/>
      <c r="T28" s="9"/>
    </row>
    <row r="29" spans="1:20" x14ac:dyDescent="0.15">
      <c r="A29" s="2">
        <v>1989</v>
      </c>
      <c r="B29" s="76" t="s">
        <v>51</v>
      </c>
      <c r="C29" s="77">
        <v>766901</v>
      </c>
      <c r="D29" s="77">
        <v>469578</v>
      </c>
      <c r="E29" s="77">
        <v>1236479</v>
      </c>
      <c r="F29" s="77">
        <v>957253</v>
      </c>
      <c r="G29" s="77">
        <v>28504</v>
      </c>
      <c r="H29" s="77">
        <v>65840</v>
      </c>
      <c r="I29" s="77">
        <v>25098</v>
      </c>
      <c r="J29" s="78" t="s">
        <v>26</v>
      </c>
      <c r="K29" s="77">
        <v>311</v>
      </c>
      <c r="L29" s="78" t="s">
        <v>26</v>
      </c>
      <c r="M29" s="122">
        <v>2313485</v>
      </c>
      <c r="N29" s="123">
        <v>99.4</v>
      </c>
      <c r="O29" s="123">
        <v>28.1999999999999</v>
      </c>
      <c r="P29" s="124">
        <v>98.099999999999895</v>
      </c>
      <c r="Q29" s="75">
        <f t="shared" si="0"/>
        <v>0</v>
      </c>
      <c r="R29" s="75" t="s">
        <v>52</v>
      </c>
      <c r="S29" s="9"/>
      <c r="T29" s="9"/>
    </row>
    <row r="30" spans="1:20" x14ac:dyDescent="0.15">
      <c r="A30" s="2">
        <v>1990</v>
      </c>
      <c r="B30" s="76" t="s">
        <v>53</v>
      </c>
      <c r="C30" s="77">
        <v>856676</v>
      </c>
      <c r="D30" s="77">
        <v>485252</v>
      </c>
      <c r="E30" s="77">
        <v>1341928</v>
      </c>
      <c r="F30" s="77">
        <v>1015529</v>
      </c>
      <c r="G30" s="77">
        <v>29542</v>
      </c>
      <c r="H30" s="77">
        <v>77457</v>
      </c>
      <c r="I30" s="78" t="s">
        <v>26</v>
      </c>
      <c r="J30" s="78" t="s">
        <v>26</v>
      </c>
      <c r="K30" s="78" t="s">
        <v>26</v>
      </c>
      <c r="L30" s="78" t="s">
        <v>26</v>
      </c>
      <c r="M30" s="122">
        <v>2464456</v>
      </c>
      <c r="N30" s="123">
        <v>99.299999999999898</v>
      </c>
      <c r="O30" s="123">
        <v>22.6999999999999</v>
      </c>
      <c r="P30" s="124">
        <v>98</v>
      </c>
      <c r="Q30" s="75">
        <f t="shared" si="0"/>
        <v>0</v>
      </c>
      <c r="R30" s="9"/>
      <c r="S30" s="9"/>
      <c r="T30" s="9"/>
    </row>
    <row r="31" spans="1:20" x14ac:dyDescent="0.15">
      <c r="A31" s="2">
        <v>1991</v>
      </c>
      <c r="B31" s="76" t="s">
        <v>54</v>
      </c>
      <c r="C31" s="77">
        <v>907517</v>
      </c>
      <c r="D31" s="77">
        <v>526809</v>
      </c>
      <c r="E31" s="77">
        <v>1434326</v>
      </c>
      <c r="F31" s="77">
        <v>1104912</v>
      </c>
      <c r="G31" s="77">
        <v>31222</v>
      </c>
      <c r="H31" s="77">
        <v>80317</v>
      </c>
      <c r="I31" s="78" t="s">
        <v>26</v>
      </c>
      <c r="J31" s="78" t="s">
        <v>26</v>
      </c>
      <c r="K31" s="78" t="s">
        <v>26</v>
      </c>
      <c r="L31" s="78" t="s">
        <v>26</v>
      </c>
      <c r="M31" s="122">
        <v>2650777</v>
      </c>
      <c r="N31" s="123">
        <v>99</v>
      </c>
      <c r="O31" s="123">
        <v>18.8</v>
      </c>
      <c r="P31" s="124">
        <v>97.599999999999895</v>
      </c>
      <c r="Q31" s="75">
        <f t="shared" si="0"/>
        <v>0</v>
      </c>
      <c r="R31" s="75"/>
      <c r="S31" s="9"/>
      <c r="T31" s="9"/>
    </row>
    <row r="32" spans="1:20" x14ac:dyDescent="0.15">
      <c r="A32" s="2">
        <v>1992</v>
      </c>
      <c r="B32" s="76" t="s">
        <v>55</v>
      </c>
      <c r="C32" s="77">
        <v>1037194</v>
      </c>
      <c r="D32" s="77">
        <v>365006</v>
      </c>
      <c r="E32" s="77">
        <v>1402200</v>
      </c>
      <c r="F32" s="77">
        <v>1197347</v>
      </c>
      <c r="G32" s="77">
        <v>33032</v>
      </c>
      <c r="H32" s="77">
        <v>82466</v>
      </c>
      <c r="I32" s="78" t="s">
        <v>26</v>
      </c>
      <c r="J32" s="78" t="s">
        <v>26</v>
      </c>
      <c r="K32" s="78" t="s">
        <v>26</v>
      </c>
      <c r="L32" s="78" t="s">
        <v>26</v>
      </c>
      <c r="M32" s="122">
        <v>2715045</v>
      </c>
      <c r="N32" s="123">
        <v>99.2</v>
      </c>
      <c r="O32" s="123">
        <v>16.5</v>
      </c>
      <c r="P32" s="124">
        <v>97.299999999999898</v>
      </c>
      <c r="Q32" s="75">
        <f t="shared" si="0"/>
        <v>0</v>
      </c>
      <c r="R32" s="75"/>
      <c r="S32" s="9"/>
      <c r="T32" s="9"/>
    </row>
    <row r="33" spans="1:20" x14ac:dyDescent="0.15">
      <c r="A33" s="2">
        <v>1993</v>
      </c>
      <c r="B33" s="76" t="s">
        <v>56</v>
      </c>
      <c r="C33" s="77">
        <v>1027695</v>
      </c>
      <c r="D33" s="77">
        <v>321740</v>
      </c>
      <c r="E33" s="77">
        <f>1027695+321740</f>
        <v>1349435</v>
      </c>
      <c r="F33" s="77">
        <v>1300829</v>
      </c>
      <c r="G33" s="77">
        <v>34577</v>
      </c>
      <c r="H33" s="77">
        <v>87320</v>
      </c>
      <c r="I33" s="78" t="s">
        <v>26</v>
      </c>
      <c r="J33" s="78" t="s">
        <v>26</v>
      </c>
      <c r="K33" s="78" t="s">
        <v>26</v>
      </c>
      <c r="L33" s="78" t="s">
        <v>26</v>
      </c>
      <c r="M33" s="122">
        <v>2772161</v>
      </c>
      <c r="N33" s="123">
        <v>99.2</v>
      </c>
      <c r="O33" s="123">
        <v>15.4</v>
      </c>
      <c r="P33" s="124">
        <v>97.099999999999895</v>
      </c>
      <c r="Q33" s="75">
        <f t="shared" si="0"/>
        <v>0</v>
      </c>
      <c r="R33" s="75"/>
      <c r="S33" s="9"/>
      <c r="T33" s="9"/>
    </row>
    <row r="34" spans="1:20" x14ac:dyDescent="0.15">
      <c r="A34" s="2">
        <v>1994</v>
      </c>
      <c r="B34" s="76" t="s">
        <v>57</v>
      </c>
      <c r="C34" s="77">
        <v>861012</v>
      </c>
      <c r="D34" s="77">
        <v>370960</v>
      </c>
      <c r="E34" s="77">
        <f t="shared" ref="E34:E57" si="1">C34+D34</f>
        <v>1231972</v>
      </c>
      <c r="F34" s="77">
        <v>1312652</v>
      </c>
      <c r="G34" s="77">
        <v>36233</v>
      </c>
      <c r="H34" s="77">
        <v>91538</v>
      </c>
      <c r="I34" s="78" t="s">
        <v>26</v>
      </c>
      <c r="J34" s="78" t="s">
        <v>26</v>
      </c>
      <c r="K34" s="78" t="s">
        <v>26</v>
      </c>
      <c r="L34" s="78" t="s">
        <v>26</v>
      </c>
      <c r="M34" s="122">
        <v>2672395</v>
      </c>
      <c r="N34" s="123">
        <v>99</v>
      </c>
      <c r="O34" s="123">
        <v>19.8</v>
      </c>
      <c r="P34" s="124">
        <v>96.9</v>
      </c>
      <c r="Q34" s="75">
        <f t="shared" si="0"/>
        <v>0</v>
      </c>
      <c r="R34" s="75"/>
      <c r="S34" s="9"/>
      <c r="T34" s="9"/>
    </row>
    <row r="35" spans="1:20" x14ac:dyDescent="0.15">
      <c r="A35" s="2">
        <v>1995</v>
      </c>
      <c r="B35" s="76" t="s">
        <v>58</v>
      </c>
      <c r="C35" s="77">
        <v>947828</v>
      </c>
      <c r="D35" s="77">
        <v>467132</v>
      </c>
      <c r="E35" s="77">
        <f t="shared" si="1"/>
        <v>1414960</v>
      </c>
      <c r="F35" s="77">
        <v>1350650</v>
      </c>
      <c r="G35" s="77">
        <v>38099</v>
      </c>
      <c r="H35" s="77">
        <v>99428</v>
      </c>
      <c r="I35" s="78" t="s">
        <v>27</v>
      </c>
      <c r="J35" s="78" t="s">
        <v>27</v>
      </c>
      <c r="K35" s="78" t="s">
        <v>27</v>
      </c>
      <c r="L35" s="78" t="s">
        <v>27</v>
      </c>
      <c r="M35" s="122">
        <v>2903137</v>
      </c>
      <c r="N35" s="123">
        <v>99</v>
      </c>
      <c r="O35" s="123">
        <v>19</v>
      </c>
      <c r="P35" s="124">
        <v>96.9</v>
      </c>
      <c r="Q35" s="75">
        <f t="shared" si="0"/>
        <v>0</v>
      </c>
      <c r="R35" s="75"/>
      <c r="S35" s="9"/>
      <c r="T35" s="9"/>
    </row>
    <row r="36" spans="1:20" x14ac:dyDescent="0.15">
      <c r="A36" s="2">
        <v>1996</v>
      </c>
      <c r="B36" s="76" t="s">
        <v>59</v>
      </c>
      <c r="C36" s="83">
        <v>962138</v>
      </c>
      <c r="D36" s="83">
        <v>594809</v>
      </c>
      <c r="E36" s="77">
        <f t="shared" si="1"/>
        <v>1556947</v>
      </c>
      <c r="F36" s="83">
        <v>1396381</v>
      </c>
      <c r="G36" s="77">
        <v>40009</v>
      </c>
      <c r="H36" s="77">
        <v>103897</v>
      </c>
      <c r="I36" s="78" t="s">
        <v>27</v>
      </c>
      <c r="J36" s="78" t="s">
        <v>27</v>
      </c>
      <c r="K36" s="78" t="s">
        <v>27</v>
      </c>
      <c r="L36" s="125"/>
      <c r="M36" s="122">
        <v>3097234</v>
      </c>
      <c r="N36" s="123">
        <v>98.9</v>
      </c>
      <c r="O36" s="123">
        <v>21.7</v>
      </c>
      <c r="P36" s="124">
        <v>96.8</v>
      </c>
      <c r="Q36" s="75">
        <f t="shared" si="0"/>
        <v>0</v>
      </c>
      <c r="R36" s="75"/>
      <c r="S36" s="9"/>
      <c r="T36" s="9"/>
    </row>
    <row r="37" spans="1:20" x14ac:dyDescent="0.15">
      <c r="A37" s="2">
        <v>1997</v>
      </c>
      <c r="B37" s="76" t="s">
        <v>60</v>
      </c>
      <c r="C37" s="77">
        <v>1101935</v>
      </c>
      <c r="D37" s="77">
        <v>551152</v>
      </c>
      <c r="E37" s="77">
        <f t="shared" si="1"/>
        <v>1653087</v>
      </c>
      <c r="F37" s="77">
        <v>1378485</v>
      </c>
      <c r="G37" s="77">
        <v>42401</v>
      </c>
      <c r="H37" s="77">
        <v>126068</v>
      </c>
      <c r="I37" s="78" t="s">
        <v>27</v>
      </c>
      <c r="J37" s="78" t="s">
        <v>27</v>
      </c>
      <c r="K37" s="78" t="s">
        <v>27</v>
      </c>
      <c r="L37" s="125">
        <v>773</v>
      </c>
      <c r="M37" s="122">
        <v>3200814</v>
      </c>
      <c r="N37" s="123">
        <v>99</v>
      </c>
      <c r="O37" s="123">
        <v>21.5</v>
      </c>
      <c r="P37" s="124">
        <v>97.1</v>
      </c>
      <c r="Q37" s="75">
        <f t="shared" si="0"/>
        <v>0</v>
      </c>
      <c r="R37" s="75" t="s">
        <v>61</v>
      </c>
      <c r="S37" s="9"/>
      <c r="T37" s="9"/>
    </row>
    <row r="38" spans="1:20" x14ac:dyDescent="0.15">
      <c r="A38" s="2">
        <v>1998</v>
      </c>
      <c r="B38" s="76" t="s">
        <v>62</v>
      </c>
      <c r="C38" s="77">
        <v>1027298</v>
      </c>
      <c r="D38" s="77">
        <v>1064077</v>
      </c>
      <c r="E38" s="77">
        <f t="shared" si="1"/>
        <v>2091375</v>
      </c>
      <c r="F38" s="77">
        <v>1446729</v>
      </c>
      <c r="G38" s="77">
        <v>43813</v>
      </c>
      <c r="H38" s="77">
        <v>130625</v>
      </c>
      <c r="I38" s="78" t="s">
        <v>27</v>
      </c>
      <c r="J38" s="78" t="s">
        <v>27</v>
      </c>
      <c r="K38" s="78" t="s">
        <v>27</v>
      </c>
      <c r="L38" s="82">
        <v>13596</v>
      </c>
      <c r="M38" s="122">
        <v>3726138</v>
      </c>
      <c r="N38" s="123">
        <v>99</v>
      </c>
      <c r="O38" s="123">
        <v>26.2</v>
      </c>
      <c r="P38" s="124">
        <v>97.3</v>
      </c>
      <c r="Q38" s="75">
        <f t="shared" si="0"/>
        <v>0</v>
      </c>
      <c r="R38" s="9"/>
      <c r="S38" s="9"/>
      <c r="T38" s="9"/>
    </row>
    <row r="39" spans="1:20" ht="18.75" x14ac:dyDescent="0.4">
      <c r="A39" s="2">
        <v>1999</v>
      </c>
      <c r="B39" s="76" t="s">
        <v>63</v>
      </c>
      <c r="C39" s="77">
        <v>1044392</v>
      </c>
      <c r="D39" s="77">
        <v>493597</v>
      </c>
      <c r="E39" s="77">
        <f t="shared" si="1"/>
        <v>1537989</v>
      </c>
      <c r="F39" s="77">
        <v>1536687</v>
      </c>
      <c r="G39" s="77">
        <v>45200</v>
      </c>
      <c r="H39" s="77">
        <v>148446</v>
      </c>
      <c r="I39" s="78" t="s">
        <v>27</v>
      </c>
      <c r="J39" s="78" t="s">
        <v>27</v>
      </c>
      <c r="K39" s="78" t="s">
        <v>27</v>
      </c>
      <c r="L39" s="84">
        <v>37330</v>
      </c>
      <c r="M39" s="122">
        <v>3305652</v>
      </c>
      <c r="N39" s="123">
        <v>98.7</v>
      </c>
      <c r="O39" s="123">
        <v>14</v>
      </c>
      <c r="P39" s="124">
        <v>96.3</v>
      </c>
      <c r="Q39" s="75">
        <f t="shared" si="0"/>
        <v>0</v>
      </c>
      <c r="R39" s="9"/>
      <c r="S39" s="9"/>
      <c r="T39" s="9"/>
    </row>
    <row r="40" spans="1:20" ht="18.75" x14ac:dyDescent="0.4">
      <c r="A40" s="2">
        <v>2000</v>
      </c>
      <c r="B40" s="76" t="s">
        <v>64</v>
      </c>
      <c r="C40" s="77">
        <v>1009783</v>
      </c>
      <c r="D40" s="77">
        <v>760186</v>
      </c>
      <c r="E40" s="77">
        <f t="shared" si="1"/>
        <v>1769969</v>
      </c>
      <c r="F40" s="77">
        <v>1506191</v>
      </c>
      <c r="G40" s="77">
        <v>47764</v>
      </c>
      <c r="H40" s="77">
        <v>149058</v>
      </c>
      <c r="I40" s="78" t="s">
        <v>27</v>
      </c>
      <c r="J40" s="78" t="s">
        <v>27</v>
      </c>
      <c r="K40" s="78" t="s">
        <v>27</v>
      </c>
      <c r="L40" s="84">
        <v>38652</v>
      </c>
      <c r="M40" s="122">
        <v>3511634</v>
      </c>
      <c r="N40" s="123">
        <v>98.6</v>
      </c>
      <c r="O40" s="123">
        <v>16.100000000000001</v>
      </c>
      <c r="P40" s="124">
        <v>95.8</v>
      </c>
      <c r="Q40" s="75">
        <f>SUM(C40:L40)-M40-E40</f>
        <v>0</v>
      </c>
      <c r="R40" s="9"/>
      <c r="S40" s="9"/>
      <c r="T40" s="9"/>
    </row>
    <row r="41" spans="1:20" ht="18.75" x14ac:dyDescent="0.4">
      <c r="A41" s="2">
        <v>2001</v>
      </c>
      <c r="B41" s="76" t="s">
        <v>65</v>
      </c>
      <c r="C41" s="77">
        <v>1056577</v>
      </c>
      <c r="D41" s="77">
        <v>780242</v>
      </c>
      <c r="E41" s="77">
        <f t="shared" si="1"/>
        <v>1836819</v>
      </c>
      <c r="F41" s="77">
        <v>1569859</v>
      </c>
      <c r="G41" s="77">
        <v>50290</v>
      </c>
      <c r="H41" s="77">
        <v>149273</v>
      </c>
      <c r="I41" s="78" t="s">
        <v>27</v>
      </c>
      <c r="J41" s="78" t="s">
        <v>27</v>
      </c>
      <c r="K41" s="78" t="s">
        <v>27</v>
      </c>
      <c r="L41" s="84">
        <v>40625</v>
      </c>
      <c r="M41" s="122">
        <v>3646866</v>
      </c>
      <c r="N41" s="123">
        <v>98.6</v>
      </c>
      <c r="O41" s="123">
        <v>18.100000000000001</v>
      </c>
      <c r="P41" s="124">
        <v>95.4</v>
      </c>
      <c r="Q41" s="75">
        <f t="shared" si="0"/>
        <v>0</v>
      </c>
      <c r="R41" s="9"/>
      <c r="S41" s="9"/>
      <c r="T41" s="9"/>
    </row>
    <row r="42" spans="1:20" ht="18.75" x14ac:dyDescent="0.4">
      <c r="A42" s="2">
        <v>2002</v>
      </c>
      <c r="B42" s="76" t="s">
        <v>66</v>
      </c>
      <c r="C42" s="77">
        <v>961560</v>
      </c>
      <c r="D42" s="77">
        <v>243312</v>
      </c>
      <c r="E42" s="77">
        <f t="shared" si="1"/>
        <v>1204872</v>
      </c>
      <c r="F42" s="77">
        <v>1622816</v>
      </c>
      <c r="G42" s="77">
        <v>51507</v>
      </c>
      <c r="H42" s="77">
        <v>140432</v>
      </c>
      <c r="I42" s="78" t="s">
        <v>27</v>
      </c>
      <c r="J42" s="78" t="s">
        <v>27</v>
      </c>
      <c r="K42" s="78" t="s">
        <v>27</v>
      </c>
      <c r="L42" s="84">
        <v>35560</v>
      </c>
      <c r="M42" s="122">
        <v>3055187</v>
      </c>
      <c r="N42" s="123">
        <v>98.4</v>
      </c>
      <c r="O42" s="123">
        <v>10.1</v>
      </c>
      <c r="P42" s="124">
        <v>93.8</v>
      </c>
      <c r="Q42" s="75">
        <f t="shared" si="0"/>
        <v>0</v>
      </c>
      <c r="R42" s="9"/>
      <c r="S42" s="9"/>
      <c r="T42" s="9"/>
    </row>
    <row r="43" spans="1:20" ht="18.75" x14ac:dyDescent="0.4">
      <c r="A43" s="2">
        <v>2003</v>
      </c>
      <c r="B43" s="76" t="s">
        <v>67</v>
      </c>
      <c r="C43" s="77">
        <v>878779</v>
      </c>
      <c r="D43" s="77">
        <v>272983</v>
      </c>
      <c r="E43" s="77">
        <f t="shared" si="1"/>
        <v>1151762</v>
      </c>
      <c r="F43" s="77">
        <v>1563907</v>
      </c>
      <c r="G43" s="77">
        <v>53493</v>
      </c>
      <c r="H43" s="77">
        <v>146143</v>
      </c>
      <c r="I43" s="78" t="s">
        <v>27</v>
      </c>
      <c r="J43" s="78" t="s">
        <v>27</v>
      </c>
      <c r="K43" s="78" t="s">
        <v>27</v>
      </c>
      <c r="L43" s="84">
        <v>37211</v>
      </c>
      <c r="M43" s="122">
        <v>2952516</v>
      </c>
      <c r="N43" s="123">
        <v>98.3</v>
      </c>
      <c r="O43" s="123">
        <v>10.1</v>
      </c>
      <c r="P43" s="124">
        <v>92.7</v>
      </c>
      <c r="Q43" s="75">
        <f t="shared" si="0"/>
        <v>0</v>
      </c>
      <c r="R43" s="9"/>
      <c r="S43" s="9"/>
      <c r="T43" s="9"/>
    </row>
    <row r="44" spans="1:20" ht="18.75" x14ac:dyDescent="0.4">
      <c r="A44" s="2">
        <v>2004</v>
      </c>
      <c r="B44" s="76" t="s">
        <v>68</v>
      </c>
      <c r="C44" s="77">
        <f>28321+850228</f>
        <v>878549</v>
      </c>
      <c r="D44" s="77">
        <f>89138+282150</f>
        <v>371288</v>
      </c>
      <c r="E44" s="77">
        <f t="shared" si="1"/>
        <v>1249837</v>
      </c>
      <c r="F44" s="77">
        <v>1600146</v>
      </c>
      <c r="G44" s="77">
        <v>55842</v>
      </c>
      <c r="H44" s="77">
        <v>152103</v>
      </c>
      <c r="I44" s="78" t="s">
        <v>27</v>
      </c>
      <c r="J44" s="78" t="s">
        <v>27</v>
      </c>
      <c r="K44" s="78" t="s">
        <v>27</v>
      </c>
      <c r="L44" s="84">
        <v>35501</v>
      </c>
      <c r="M44" s="122">
        <v>3093429</v>
      </c>
      <c r="N44" s="123">
        <v>98.3</v>
      </c>
      <c r="O44" s="123">
        <v>12.9</v>
      </c>
      <c r="P44" s="124">
        <v>92.5</v>
      </c>
      <c r="Q44" s="75">
        <f>SUM(C44:L44)-M44-E44</f>
        <v>0</v>
      </c>
      <c r="R44" s="9"/>
      <c r="S44" s="9"/>
      <c r="T44" s="9"/>
    </row>
    <row r="45" spans="1:20" ht="18.75" x14ac:dyDescent="0.4">
      <c r="A45" s="2">
        <v>2005</v>
      </c>
      <c r="B45" s="76" t="s">
        <v>69</v>
      </c>
      <c r="C45" s="77">
        <f>32332+890979</f>
        <v>923311</v>
      </c>
      <c r="D45" s="77">
        <f>89410+288773</f>
        <v>378183</v>
      </c>
      <c r="E45" s="77">
        <f t="shared" si="1"/>
        <v>1301494</v>
      </c>
      <c r="F45" s="77">
        <v>1627970</v>
      </c>
      <c r="G45" s="77">
        <v>56956</v>
      </c>
      <c r="H45" s="77">
        <v>146776</v>
      </c>
      <c r="I45" s="78" t="s">
        <v>27</v>
      </c>
      <c r="J45" s="78" t="s">
        <v>27</v>
      </c>
      <c r="K45" s="78" t="s">
        <v>27</v>
      </c>
      <c r="L45" s="126">
        <v>35393</v>
      </c>
      <c r="M45" s="122">
        <v>3168589</v>
      </c>
      <c r="N45" s="123">
        <v>98.4</v>
      </c>
      <c r="O45" s="123">
        <v>13</v>
      </c>
      <c r="P45" s="124">
        <v>92.7</v>
      </c>
      <c r="Q45" s="75">
        <f>SUM(C45:L45)-M45-E45</f>
        <v>0</v>
      </c>
      <c r="R45" s="9"/>
      <c r="S45" s="9"/>
      <c r="T45" s="9"/>
    </row>
    <row r="46" spans="1:20" ht="18.75" x14ac:dyDescent="0.4">
      <c r="A46" s="2">
        <v>2006</v>
      </c>
      <c r="B46" s="76" t="s">
        <v>70</v>
      </c>
      <c r="C46" s="77">
        <f>40876+969552</f>
        <v>1010428</v>
      </c>
      <c r="D46" s="77">
        <f>93552+415579</f>
        <v>509131</v>
      </c>
      <c r="E46" s="77">
        <f t="shared" si="1"/>
        <v>1519559</v>
      </c>
      <c r="F46" s="77">
        <v>1587064</v>
      </c>
      <c r="G46" s="77">
        <v>58584</v>
      </c>
      <c r="H46" s="77">
        <v>149650</v>
      </c>
      <c r="I46" s="78" t="s">
        <v>27</v>
      </c>
      <c r="J46" s="78" t="s">
        <v>27</v>
      </c>
      <c r="K46" s="78" t="s">
        <v>27</v>
      </c>
      <c r="L46" s="84">
        <v>35790</v>
      </c>
      <c r="M46" s="122">
        <v>3350647</v>
      </c>
      <c r="N46" s="123">
        <v>98.6</v>
      </c>
      <c r="O46" s="123">
        <v>14.7</v>
      </c>
      <c r="P46" s="124">
        <v>93.1</v>
      </c>
      <c r="Q46" s="75">
        <f>SUM(C46:L46)-M46-E46</f>
        <v>0</v>
      </c>
      <c r="R46" s="9"/>
      <c r="S46" s="9"/>
      <c r="T46" s="9"/>
    </row>
    <row r="47" spans="1:20" ht="18.75" x14ac:dyDescent="0.4">
      <c r="A47" s="2">
        <v>2007</v>
      </c>
      <c r="B47" s="76" t="s">
        <v>71</v>
      </c>
      <c r="C47" s="77">
        <f>41060+1276018</f>
        <v>1317078</v>
      </c>
      <c r="D47" s="77">
        <f>92701+411653</f>
        <v>504354</v>
      </c>
      <c r="E47" s="77">
        <f t="shared" si="1"/>
        <v>1821432</v>
      </c>
      <c r="F47" s="77">
        <v>1667459</v>
      </c>
      <c r="G47" s="77">
        <v>61069</v>
      </c>
      <c r="H47" s="77">
        <v>149927</v>
      </c>
      <c r="I47" s="78" t="s">
        <v>27</v>
      </c>
      <c r="J47" s="78" t="s">
        <v>27</v>
      </c>
      <c r="K47" s="78" t="s">
        <v>27</v>
      </c>
      <c r="L47" s="84">
        <v>36394</v>
      </c>
      <c r="M47" s="122">
        <v>3736281</v>
      </c>
      <c r="N47" s="123">
        <v>98.4</v>
      </c>
      <c r="O47" s="123">
        <v>13.8</v>
      </c>
      <c r="P47" s="124">
        <v>93.4</v>
      </c>
      <c r="Q47" s="75">
        <f t="shared" si="0"/>
        <v>0</v>
      </c>
      <c r="R47" s="9" t="s">
        <v>72</v>
      </c>
      <c r="S47" s="9"/>
      <c r="T47" s="9"/>
    </row>
    <row r="48" spans="1:20" ht="18.75" x14ac:dyDescent="0.4">
      <c r="A48" s="2">
        <v>2008</v>
      </c>
      <c r="B48" s="76" t="s">
        <v>131</v>
      </c>
      <c r="C48" s="77">
        <f>40697+1325923</f>
        <v>1366620</v>
      </c>
      <c r="D48" s="77">
        <f>94415+380614</f>
        <v>475029</v>
      </c>
      <c r="E48" s="77">
        <f t="shared" si="1"/>
        <v>1841649</v>
      </c>
      <c r="F48" s="77">
        <v>1751137</v>
      </c>
      <c r="G48" s="77">
        <v>62826</v>
      </c>
      <c r="H48" s="77">
        <v>144056</v>
      </c>
      <c r="I48" s="78" t="s">
        <v>27</v>
      </c>
      <c r="J48" s="78" t="s">
        <v>27</v>
      </c>
      <c r="K48" s="78" t="s">
        <v>27</v>
      </c>
      <c r="L48" s="84">
        <v>35402</v>
      </c>
      <c r="M48" s="122">
        <v>3835070</v>
      </c>
      <c r="N48" s="123">
        <v>98.1</v>
      </c>
      <c r="O48" s="123">
        <v>15.5</v>
      </c>
      <c r="P48" s="124">
        <v>93</v>
      </c>
      <c r="Q48" s="75">
        <f t="shared" si="0"/>
        <v>0</v>
      </c>
      <c r="R48" s="9" t="s">
        <v>74</v>
      </c>
      <c r="S48" s="9"/>
      <c r="T48" s="9"/>
    </row>
    <row r="49" spans="1:20" ht="18.75" x14ac:dyDescent="0.4">
      <c r="A49" s="2">
        <v>2009</v>
      </c>
      <c r="B49" s="76" t="s">
        <v>132</v>
      </c>
      <c r="C49" s="77">
        <v>1309881</v>
      </c>
      <c r="D49" s="77">
        <v>176975</v>
      </c>
      <c r="E49" s="77">
        <f t="shared" si="1"/>
        <v>1486856</v>
      </c>
      <c r="F49" s="77">
        <v>1778863</v>
      </c>
      <c r="G49" s="77">
        <v>63650</v>
      </c>
      <c r="H49" s="77">
        <v>125868</v>
      </c>
      <c r="I49" s="78" t="s">
        <v>27</v>
      </c>
      <c r="J49" s="78" t="s">
        <v>27</v>
      </c>
      <c r="K49" s="78" t="s">
        <v>27</v>
      </c>
      <c r="L49" s="84">
        <v>33976</v>
      </c>
      <c r="M49" s="122">
        <v>3489213</v>
      </c>
      <c r="N49" s="123">
        <v>97.8</v>
      </c>
      <c r="O49" s="123">
        <v>13.1</v>
      </c>
      <c r="P49" s="124">
        <v>91.9</v>
      </c>
      <c r="Q49" s="75">
        <f t="shared" ref="Q49:Q60" si="2">SUM(C49:L49)-M49-E49</f>
        <v>0</v>
      </c>
      <c r="R49" s="9"/>
      <c r="S49" s="9"/>
      <c r="T49" s="9"/>
    </row>
    <row r="50" spans="1:20" ht="18.75" x14ac:dyDescent="0.4">
      <c r="A50" s="2">
        <v>2010</v>
      </c>
      <c r="B50" s="76" t="s">
        <v>133</v>
      </c>
      <c r="C50" s="77">
        <f>37998+1027703</f>
        <v>1065701</v>
      </c>
      <c r="D50" s="77">
        <f>91729+109173</f>
        <v>200902</v>
      </c>
      <c r="E50" s="77">
        <f t="shared" si="1"/>
        <v>1266603</v>
      </c>
      <c r="F50" s="77">
        <v>1737049</v>
      </c>
      <c r="G50" s="77">
        <v>63808</v>
      </c>
      <c r="H50" s="77">
        <v>133114</v>
      </c>
      <c r="I50" s="78" t="s">
        <v>27</v>
      </c>
      <c r="J50" s="78" t="s">
        <v>27</v>
      </c>
      <c r="K50" s="78" t="s">
        <v>27</v>
      </c>
      <c r="L50" s="84">
        <v>35364</v>
      </c>
      <c r="M50" s="122">
        <v>3235938</v>
      </c>
      <c r="N50" s="123">
        <v>98.4</v>
      </c>
      <c r="O50" s="123">
        <v>12.5</v>
      </c>
      <c r="P50" s="124">
        <v>91.1</v>
      </c>
      <c r="Q50" s="75">
        <f t="shared" si="2"/>
        <v>0</v>
      </c>
      <c r="R50" s="9"/>
      <c r="S50" s="9"/>
      <c r="T50" s="9"/>
    </row>
    <row r="51" spans="1:20" ht="18.75" x14ac:dyDescent="0.4">
      <c r="A51" s="2">
        <v>2011</v>
      </c>
      <c r="B51" s="76" t="s">
        <v>134</v>
      </c>
      <c r="C51" s="77">
        <f>38350+1045257</f>
        <v>1083607</v>
      </c>
      <c r="D51" s="77">
        <f>93844+195882</f>
        <v>289726</v>
      </c>
      <c r="E51" s="77">
        <f t="shared" si="1"/>
        <v>1373333</v>
      </c>
      <c r="F51" s="77">
        <v>1708347</v>
      </c>
      <c r="G51" s="77">
        <v>64846</v>
      </c>
      <c r="H51" s="77">
        <v>157156</v>
      </c>
      <c r="I51" s="78" t="s">
        <v>27</v>
      </c>
      <c r="J51" s="78" t="s">
        <v>27</v>
      </c>
      <c r="K51" s="78" t="s">
        <v>27</v>
      </c>
      <c r="L51" s="84">
        <v>34481</v>
      </c>
      <c r="M51" s="122">
        <v>3338163</v>
      </c>
      <c r="N51" s="123">
        <v>98.4</v>
      </c>
      <c r="O51" s="123">
        <v>15</v>
      </c>
      <c r="P51" s="124">
        <v>91.7</v>
      </c>
      <c r="Q51" s="75">
        <f t="shared" si="2"/>
        <v>0</v>
      </c>
      <c r="R51" s="9"/>
      <c r="S51" s="9"/>
      <c r="T51" s="9"/>
    </row>
    <row r="52" spans="1:20" ht="18.75" x14ac:dyDescent="0.4">
      <c r="A52" s="2">
        <v>2012</v>
      </c>
      <c r="B52" s="76" t="s">
        <v>135</v>
      </c>
      <c r="C52" s="77">
        <v>1180080</v>
      </c>
      <c r="D52" s="77">
        <v>320737</v>
      </c>
      <c r="E52" s="77">
        <f t="shared" si="1"/>
        <v>1500817</v>
      </c>
      <c r="F52" s="85">
        <v>1585278</v>
      </c>
      <c r="G52" s="77">
        <v>65816</v>
      </c>
      <c r="H52" s="77">
        <v>157488</v>
      </c>
      <c r="I52" s="78" t="s">
        <v>27</v>
      </c>
      <c r="J52" s="78" t="s">
        <v>27</v>
      </c>
      <c r="K52" s="78" t="s">
        <v>27</v>
      </c>
      <c r="L52" s="84">
        <v>34852</v>
      </c>
      <c r="M52" s="122">
        <f t="shared" ref="M52:M57" si="3">SUM(E52:L52)</f>
        <v>3344251</v>
      </c>
      <c r="N52" s="123">
        <v>98.4</v>
      </c>
      <c r="O52" s="123">
        <v>17.7</v>
      </c>
      <c r="P52" s="124">
        <v>92.5</v>
      </c>
      <c r="Q52" s="75">
        <f t="shared" si="2"/>
        <v>0</v>
      </c>
      <c r="R52" s="9"/>
      <c r="S52" s="9"/>
      <c r="T52" s="9"/>
    </row>
    <row r="53" spans="1:20" ht="18.75" x14ac:dyDescent="0.4">
      <c r="A53" s="2">
        <v>2013</v>
      </c>
      <c r="B53" s="127" t="s">
        <v>136</v>
      </c>
      <c r="C53" s="77">
        <v>1169370</v>
      </c>
      <c r="D53" s="77">
        <v>253350</v>
      </c>
      <c r="E53" s="77">
        <f t="shared" si="1"/>
        <v>1422720</v>
      </c>
      <c r="F53" s="85">
        <f>1579985+2128</f>
        <v>1582113</v>
      </c>
      <c r="G53" s="77">
        <v>67179</v>
      </c>
      <c r="H53" s="77">
        <v>171327</v>
      </c>
      <c r="I53" s="78" t="s">
        <v>27</v>
      </c>
      <c r="J53" s="78" t="s">
        <v>27</v>
      </c>
      <c r="K53" s="78" t="s">
        <v>27</v>
      </c>
      <c r="L53" s="84">
        <v>33104</v>
      </c>
      <c r="M53" s="122">
        <f t="shared" si="3"/>
        <v>3276443</v>
      </c>
      <c r="N53" s="123">
        <v>98.5</v>
      </c>
      <c r="O53" s="123">
        <v>22.1</v>
      </c>
      <c r="P53" s="124">
        <v>93.6</v>
      </c>
      <c r="Q53" s="75">
        <f t="shared" si="2"/>
        <v>0</v>
      </c>
      <c r="R53" s="9" t="s">
        <v>80</v>
      </c>
      <c r="S53" s="9"/>
      <c r="T53" s="9"/>
    </row>
    <row r="54" spans="1:20" ht="18.75" x14ac:dyDescent="0.4">
      <c r="A54" s="2">
        <v>2014</v>
      </c>
      <c r="B54" s="127" t="s">
        <v>137</v>
      </c>
      <c r="C54" s="128">
        <v>1168890</v>
      </c>
      <c r="D54" s="128">
        <v>497570</v>
      </c>
      <c r="E54" s="77">
        <f t="shared" si="1"/>
        <v>1666460</v>
      </c>
      <c r="F54" s="129">
        <v>1574426</v>
      </c>
      <c r="G54" s="128">
        <v>68497</v>
      </c>
      <c r="H54" s="128">
        <v>168088</v>
      </c>
      <c r="I54" s="78" t="s">
        <v>27</v>
      </c>
      <c r="J54" s="78" t="s">
        <v>27</v>
      </c>
      <c r="K54" s="78" t="s">
        <v>27</v>
      </c>
      <c r="L54" s="130">
        <v>33133</v>
      </c>
      <c r="M54" s="122">
        <f t="shared" si="3"/>
        <v>3510604</v>
      </c>
      <c r="N54" s="131">
        <v>98.8</v>
      </c>
      <c r="O54" s="131">
        <v>28.4</v>
      </c>
      <c r="P54" s="132">
        <v>95.5</v>
      </c>
      <c r="Q54" s="75">
        <f t="shared" si="2"/>
        <v>0</v>
      </c>
      <c r="R54" s="9"/>
      <c r="S54" s="9"/>
      <c r="T54" s="9"/>
    </row>
    <row r="55" spans="1:20" ht="18.75" x14ac:dyDescent="0.4">
      <c r="A55" s="2">
        <v>2015</v>
      </c>
      <c r="B55" s="127" t="s">
        <v>138</v>
      </c>
      <c r="C55" s="77">
        <v>1197068</v>
      </c>
      <c r="D55" s="77">
        <v>381520</v>
      </c>
      <c r="E55" s="77">
        <f t="shared" si="1"/>
        <v>1578588</v>
      </c>
      <c r="F55" s="85">
        <v>1527446</v>
      </c>
      <c r="G55" s="77">
        <v>70253</v>
      </c>
      <c r="H55" s="77">
        <v>165469</v>
      </c>
      <c r="I55" s="78" t="s">
        <v>27</v>
      </c>
      <c r="J55" s="78" t="s">
        <v>27</v>
      </c>
      <c r="K55" s="78" t="s">
        <v>27</v>
      </c>
      <c r="L55" s="84">
        <v>32242</v>
      </c>
      <c r="M55" s="122">
        <f t="shared" si="3"/>
        <v>3373998</v>
      </c>
      <c r="N55" s="123">
        <v>99</v>
      </c>
      <c r="O55" s="123">
        <v>30.8</v>
      </c>
      <c r="P55" s="124">
        <v>96.1</v>
      </c>
      <c r="Q55" s="75">
        <f t="shared" si="2"/>
        <v>0</v>
      </c>
      <c r="R55" s="9"/>
      <c r="S55" s="9"/>
      <c r="T55" s="9"/>
    </row>
    <row r="56" spans="1:20" ht="18.75" x14ac:dyDescent="0.4">
      <c r="A56" s="2">
        <v>2016</v>
      </c>
      <c r="B56" s="127" t="s">
        <v>139</v>
      </c>
      <c r="C56" s="77">
        <v>1217847</v>
      </c>
      <c r="D56" s="77">
        <v>327908</v>
      </c>
      <c r="E56" s="77">
        <f t="shared" si="1"/>
        <v>1545755</v>
      </c>
      <c r="F56" s="77">
        <v>1557145</v>
      </c>
      <c r="G56" s="77">
        <v>84704</v>
      </c>
      <c r="H56" s="77">
        <v>164275</v>
      </c>
      <c r="I56" s="78" t="s">
        <v>27</v>
      </c>
      <c r="J56" s="78" t="s">
        <v>27</v>
      </c>
      <c r="K56" s="78" t="s">
        <v>27</v>
      </c>
      <c r="L56" s="84">
        <v>29950</v>
      </c>
      <c r="M56" s="122">
        <f t="shared" si="3"/>
        <v>3381829</v>
      </c>
      <c r="N56" s="123">
        <v>99</v>
      </c>
      <c r="O56" s="123">
        <v>32.6</v>
      </c>
      <c r="P56" s="124">
        <v>96.7</v>
      </c>
      <c r="Q56" s="75">
        <f t="shared" si="2"/>
        <v>0</v>
      </c>
      <c r="R56" s="9"/>
      <c r="S56" s="9"/>
      <c r="T56" s="9"/>
    </row>
    <row r="57" spans="1:20" ht="18.75" x14ac:dyDescent="0.4">
      <c r="A57" s="2">
        <v>2017</v>
      </c>
      <c r="B57" s="76" t="s">
        <v>140</v>
      </c>
      <c r="C57" s="77">
        <f>46361+1189937</f>
        <v>1236298</v>
      </c>
      <c r="D57" s="77">
        <f>99932+232760</f>
        <v>332692</v>
      </c>
      <c r="E57" s="77">
        <f t="shared" si="1"/>
        <v>1568990</v>
      </c>
      <c r="F57" s="77">
        <v>1570495</v>
      </c>
      <c r="G57" s="77">
        <v>88351</v>
      </c>
      <c r="H57" s="77">
        <v>154299</v>
      </c>
      <c r="I57" s="78" t="s">
        <v>27</v>
      </c>
      <c r="J57" s="78" t="s">
        <v>27</v>
      </c>
      <c r="K57" s="78" t="s">
        <v>27</v>
      </c>
      <c r="L57" s="84">
        <v>30333</v>
      </c>
      <c r="M57" s="122">
        <f t="shared" si="3"/>
        <v>3412468</v>
      </c>
      <c r="N57" s="123">
        <v>99</v>
      </c>
      <c r="O57" s="123">
        <v>29.6</v>
      </c>
      <c r="P57" s="124">
        <v>96.8</v>
      </c>
      <c r="Q57" s="75">
        <f t="shared" si="2"/>
        <v>0</v>
      </c>
      <c r="R57" s="9"/>
      <c r="S57" s="9"/>
      <c r="T57" s="9"/>
    </row>
    <row r="58" spans="1:20" ht="18.75" x14ac:dyDescent="0.4">
      <c r="A58" s="2">
        <v>2018</v>
      </c>
      <c r="B58" s="127" t="s">
        <v>141</v>
      </c>
      <c r="C58" s="133">
        <v>1269150</v>
      </c>
      <c r="D58" s="133">
        <v>409517</v>
      </c>
      <c r="E58" s="133">
        <v>1678667</v>
      </c>
      <c r="F58" s="133">
        <v>1541553</v>
      </c>
      <c r="G58" s="133">
        <v>92282</v>
      </c>
      <c r="H58" s="133">
        <v>149378</v>
      </c>
      <c r="I58" s="134" t="s">
        <v>26</v>
      </c>
      <c r="J58" s="134" t="s">
        <v>26</v>
      </c>
      <c r="K58" s="134" t="s">
        <v>26</v>
      </c>
      <c r="L58" s="135">
        <v>29774</v>
      </c>
      <c r="M58" s="136">
        <v>3491654</v>
      </c>
      <c r="N58" s="137">
        <v>99.3</v>
      </c>
      <c r="O58" s="137">
        <v>30.5</v>
      </c>
      <c r="P58" s="138">
        <v>97.2</v>
      </c>
      <c r="Q58" s="75">
        <f t="shared" si="2"/>
        <v>0</v>
      </c>
      <c r="R58" s="9"/>
      <c r="S58" s="9"/>
      <c r="T58" s="9"/>
    </row>
    <row r="59" spans="1:20" ht="18.75" x14ac:dyDescent="0.4">
      <c r="A59" s="2">
        <v>2019</v>
      </c>
      <c r="B59" s="127" t="s">
        <v>142</v>
      </c>
      <c r="C59" s="133">
        <v>1317205</v>
      </c>
      <c r="D59" s="133">
        <v>303898</v>
      </c>
      <c r="E59" s="133">
        <v>1621103</v>
      </c>
      <c r="F59" s="133">
        <v>1581177</v>
      </c>
      <c r="G59" s="133">
        <v>97928</v>
      </c>
      <c r="H59" s="133">
        <v>157272</v>
      </c>
      <c r="I59" s="134" t="s">
        <v>27</v>
      </c>
      <c r="J59" s="134" t="s">
        <v>26</v>
      </c>
      <c r="K59" s="134" t="s">
        <v>26</v>
      </c>
      <c r="L59" s="135">
        <v>30066</v>
      </c>
      <c r="M59" s="136">
        <v>3487546</v>
      </c>
      <c r="N59" s="137">
        <v>99.3</v>
      </c>
      <c r="O59" s="137">
        <v>36.799999999999997</v>
      </c>
      <c r="P59" s="138">
        <v>97.6</v>
      </c>
      <c r="Q59" s="75">
        <f t="shared" si="2"/>
        <v>0</v>
      </c>
      <c r="R59" s="9" t="s">
        <v>88</v>
      </c>
      <c r="S59" s="9"/>
      <c r="T59" s="9"/>
    </row>
    <row r="60" spans="1:20" ht="18.75" x14ac:dyDescent="0.4">
      <c r="A60" s="2">
        <v>2020</v>
      </c>
      <c r="B60" s="76" t="s">
        <v>143</v>
      </c>
      <c r="C60" s="77">
        <v>1299171</v>
      </c>
      <c r="D60" s="77">
        <v>219863</v>
      </c>
      <c r="E60" s="77">
        <v>1519034</v>
      </c>
      <c r="F60" s="77">
        <v>1621719</v>
      </c>
      <c r="G60" s="77">
        <v>103786</v>
      </c>
      <c r="H60" s="77">
        <v>151489</v>
      </c>
      <c r="I60" s="78" t="s">
        <v>27</v>
      </c>
      <c r="J60" s="78" t="s">
        <v>27</v>
      </c>
      <c r="K60" s="78" t="s">
        <v>27</v>
      </c>
      <c r="L60" s="84">
        <v>21455</v>
      </c>
      <c r="M60" s="122">
        <v>3417483</v>
      </c>
      <c r="N60" s="123">
        <v>97.8</v>
      </c>
      <c r="O60" s="123">
        <v>47.7</v>
      </c>
      <c r="P60" s="124">
        <v>96.6</v>
      </c>
      <c r="Q60" s="75">
        <f t="shared" si="2"/>
        <v>0</v>
      </c>
      <c r="R60" s="9"/>
      <c r="S60" s="9"/>
      <c r="T60" s="9"/>
    </row>
    <row r="61" spans="1:20" ht="18.75" x14ac:dyDescent="0.4">
      <c r="A61" s="2">
        <v>2021</v>
      </c>
      <c r="B61" s="106" t="s">
        <v>144</v>
      </c>
      <c r="C61" s="139">
        <v>1239981</v>
      </c>
      <c r="D61" s="139">
        <v>264115</v>
      </c>
      <c r="E61" s="139">
        <v>1504096</v>
      </c>
      <c r="F61" s="139">
        <v>1521583</v>
      </c>
      <c r="G61" s="139">
        <v>107281</v>
      </c>
      <c r="H61" s="139">
        <v>159868</v>
      </c>
      <c r="I61" s="140" t="s">
        <v>27</v>
      </c>
      <c r="J61" s="140" t="s">
        <v>27</v>
      </c>
      <c r="K61" s="140" t="s">
        <v>27</v>
      </c>
      <c r="L61" s="108">
        <v>10435</v>
      </c>
      <c r="M61" s="141">
        <v>3303263</v>
      </c>
      <c r="N61" s="142">
        <v>99.6</v>
      </c>
      <c r="O61" s="142">
        <v>63.8</v>
      </c>
      <c r="P61" s="143">
        <v>98.6</v>
      </c>
      <c r="Q61" s="75">
        <f t="shared" ref="Q61" si="4">SUM(C61:L61)-M61-E61</f>
        <v>0</v>
      </c>
      <c r="R61" s="9"/>
      <c r="S61" s="9"/>
      <c r="T61" s="9"/>
    </row>
    <row r="62" spans="1:20" ht="18.75" x14ac:dyDescent="0.4">
      <c r="C62" s="144"/>
      <c r="D62" s="144"/>
      <c r="E62" s="144"/>
      <c r="F62" s="144"/>
      <c r="G62" s="144"/>
      <c r="H62" s="144"/>
      <c r="I62" s="145"/>
      <c r="J62" s="145"/>
      <c r="K62" s="145"/>
      <c r="L62" s="146"/>
      <c r="M62" s="144"/>
      <c r="N62" s="147"/>
      <c r="O62" s="147"/>
      <c r="P62" s="147"/>
      <c r="Q62" s="41"/>
    </row>
    <row r="63" spans="1:20" ht="18.75" x14ac:dyDescent="0.4">
      <c r="C63" s="144"/>
      <c r="D63" s="144"/>
      <c r="E63" s="144"/>
      <c r="F63" s="144"/>
      <c r="G63" s="144"/>
      <c r="H63" s="144"/>
      <c r="I63" s="145"/>
      <c r="J63" s="145"/>
      <c r="K63" s="145"/>
      <c r="L63" s="146"/>
      <c r="M63" s="144"/>
      <c r="N63" s="147"/>
      <c r="O63" s="147"/>
      <c r="P63" s="147"/>
      <c r="Q63" s="41"/>
    </row>
    <row r="64" spans="1:20" ht="18.75" x14ac:dyDescent="0.4">
      <c r="C64" s="144"/>
      <c r="D64" s="144"/>
      <c r="E64" s="144"/>
      <c r="F64" s="144"/>
      <c r="G64" s="144"/>
      <c r="H64" s="144"/>
      <c r="I64" s="145"/>
      <c r="J64" s="145"/>
      <c r="K64" s="145"/>
      <c r="L64" s="146"/>
      <c r="M64" s="144"/>
      <c r="N64" s="147"/>
      <c r="O64" s="147"/>
      <c r="P64" s="147"/>
      <c r="Q64" s="41"/>
    </row>
    <row r="70" spans="4:4" x14ac:dyDescent="0.15">
      <c r="D70" s="2" t="s">
        <v>145</v>
      </c>
    </row>
  </sheetData>
  <mergeCells count="13">
    <mergeCell ref="N2:P3"/>
    <mergeCell ref="H2:H4"/>
    <mergeCell ref="I2:I4"/>
    <mergeCell ref="J2:J4"/>
    <mergeCell ref="K2:K4"/>
    <mergeCell ref="L2:L4"/>
    <mergeCell ref="M2:M4"/>
    <mergeCell ref="B2:B4"/>
    <mergeCell ref="C2:C4"/>
    <mergeCell ref="D2:D4"/>
    <mergeCell ref="E2:E4"/>
    <mergeCell ref="F2:F4"/>
    <mergeCell ref="G2:G4"/>
  </mergeCells>
  <phoneticPr fontId="3"/>
  <printOptions horizontalCentered="1"/>
  <pageMargins left="0.39370078740157483" right="0.39370078740157483" top="0.98425196850393704" bottom="0.78740157480314965" header="0.51181102362204722" footer="0.51181102362204722"/>
  <pageSetup paperSize="9" scale="90" fitToHeight="0" orientation="landscape" r:id="rId1"/>
  <headerFooter alignWithMargins="0">
    <oddFooter>&amp;P / &amp;N ページ</oddFooter>
  </headerFooter>
  <rowBreaks count="1" manualBreakCount="1">
    <brk id="46" min="1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1"/>
  <sheetViews>
    <sheetView view="pageBreakPreview" zoomScale="130" zoomScaleNormal="130" zoomScaleSheetLayoutView="130" workbookViewId="0">
      <pane xSplit="2" ySplit="4" topLeftCell="C5" activePane="bottomRight" state="frozen"/>
      <selection activeCell="M19" sqref="M19"/>
      <selection pane="topRight" activeCell="M19" sqref="M19"/>
      <selection pane="bottomLeft" activeCell="M19" sqref="M19"/>
      <selection pane="bottomRight" activeCell="C1" sqref="C1"/>
    </sheetView>
  </sheetViews>
  <sheetFormatPr defaultColWidth="9.375" defaultRowHeight="12" x14ac:dyDescent="0.15"/>
  <cols>
    <col min="1" max="1" width="2.125" style="31" customWidth="1"/>
    <col min="2" max="2" width="9.75" style="31" customWidth="1"/>
    <col min="3" max="3" width="7.625" style="31" customWidth="1"/>
    <col min="4" max="5" width="9.375" style="31" customWidth="1"/>
    <col min="6" max="6" width="6.75" style="31" customWidth="1"/>
    <col min="7" max="7" width="9.375" style="31" customWidth="1"/>
    <col min="8" max="9" width="7.625" style="31" customWidth="1"/>
    <col min="10" max="10" width="9.375" style="31" customWidth="1"/>
    <col min="11" max="11" width="7.625" style="31" customWidth="1"/>
    <col min="12" max="12" width="9.375" style="31" customWidth="1"/>
    <col min="13" max="13" width="7.625" style="31" customWidth="1"/>
    <col min="14" max="14" width="9.375" style="31" customWidth="1"/>
    <col min="15" max="15" width="6.75" style="31" customWidth="1"/>
    <col min="16" max="16" width="7.625" style="31" customWidth="1"/>
    <col min="17" max="17" width="9.375" style="31" customWidth="1"/>
    <col min="18" max="16384" width="9.375" style="31"/>
  </cols>
  <sheetData>
    <row r="1" spans="2:20" ht="20.25" customHeight="1" x14ac:dyDescent="0.15">
      <c r="B1" s="1" t="s">
        <v>146</v>
      </c>
    </row>
    <row r="2" spans="2:20" s="29" customFormat="1" x14ac:dyDescent="0.15">
      <c r="B2" s="3" t="s">
        <v>94</v>
      </c>
      <c r="C2" s="3" t="s">
        <v>147</v>
      </c>
      <c r="D2" s="3" t="s">
        <v>148</v>
      </c>
      <c r="E2" s="148" t="s">
        <v>149</v>
      </c>
      <c r="F2" s="3" t="s">
        <v>150</v>
      </c>
      <c r="G2" s="3" t="s">
        <v>151</v>
      </c>
      <c r="H2" s="3" t="s">
        <v>152</v>
      </c>
      <c r="I2" s="3" t="s">
        <v>153</v>
      </c>
      <c r="J2" s="3" t="s">
        <v>154</v>
      </c>
      <c r="K2" s="3" t="s">
        <v>155</v>
      </c>
      <c r="L2" s="3" t="s">
        <v>156</v>
      </c>
      <c r="M2" s="149" t="s">
        <v>157</v>
      </c>
      <c r="N2" s="3" t="s">
        <v>158</v>
      </c>
      <c r="O2" s="3" t="s">
        <v>159</v>
      </c>
      <c r="P2" s="149" t="s">
        <v>160</v>
      </c>
      <c r="Q2" s="3" t="s">
        <v>11</v>
      </c>
    </row>
    <row r="3" spans="2:20" s="29" customFormat="1" x14ac:dyDescent="0.15">
      <c r="B3" s="10"/>
      <c r="C3" s="67"/>
      <c r="D3" s="67"/>
      <c r="E3" s="150"/>
      <c r="F3" s="67"/>
      <c r="G3" s="67"/>
      <c r="H3" s="67"/>
      <c r="I3" s="67"/>
      <c r="J3" s="67"/>
      <c r="K3" s="67"/>
      <c r="L3" s="67"/>
      <c r="M3" s="151"/>
      <c r="N3" s="67"/>
      <c r="O3" s="67"/>
      <c r="P3" s="152"/>
      <c r="Q3" s="67"/>
    </row>
    <row r="4" spans="2:20" s="29" customFormat="1" x14ac:dyDescent="0.15">
      <c r="B4" s="16"/>
      <c r="C4" s="69"/>
      <c r="D4" s="69"/>
      <c r="E4" s="153"/>
      <c r="F4" s="69"/>
      <c r="G4" s="69"/>
      <c r="H4" s="69"/>
      <c r="I4" s="69"/>
      <c r="J4" s="69"/>
      <c r="K4" s="69"/>
      <c r="L4" s="69"/>
      <c r="M4" s="154"/>
      <c r="N4" s="69"/>
      <c r="O4" s="69"/>
      <c r="P4" s="155"/>
      <c r="Q4" s="69"/>
      <c r="R4" s="29" t="s">
        <v>110</v>
      </c>
    </row>
    <row r="5" spans="2:20" x14ac:dyDescent="0.15">
      <c r="B5" s="20" t="s">
        <v>25</v>
      </c>
      <c r="C5" s="21">
        <v>5522</v>
      </c>
      <c r="D5" s="21">
        <v>40181</v>
      </c>
      <c r="E5" s="21">
        <v>36415</v>
      </c>
      <c r="F5" s="21"/>
      <c r="G5" s="21">
        <v>15820</v>
      </c>
      <c r="H5" s="21">
        <v>63907</v>
      </c>
      <c r="I5" s="21">
        <v>9659</v>
      </c>
      <c r="J5" s="21">
        <v>43637</v>
      </c>
      <c r="K5" s="21">
        <v>9510</v>
      </c>
      <c r="L5" s="21">
        <v>42587</v>
      </c>
      <c r="M5" s="21">
        <v>19981</v>
      </c>
      <c r="N5" s="21"/>
      <c r="O5" s="23"/>
      <c r="P5" s="23"/>
      <c r="Q5" s="28">
        <v>297219</v>
      </c>
      <c r="R5" s="156">
        <f>SUM(C5:P5)-Q5</f>
        <v>-10000</v>
      </c>
      <c r="S5" s="29"/>
      <c r="T5" s="29"/>
    </row>
    <row r="6" spans="2:20" x14ac:dyDescent="0.15">
      <c r="B6" s="32" t="s">
        <v>28</v>
      </c>
      <c r="C6" s="33">
        <v>5977</v>
      </c>
      <c r="D6" s="33">
        <v>53238</v>
      </c>
      <c r="E6" s="33">
        <v>36213</v>
      </c>
      <c r="F6" s="33"/>
      <c r="G6" s="33">
        <v>19425</v>
      </c>
      <c r="H6" s="33">
        <v>28847</v>
      </c>
      <c r="I6" s="33">
        <v>10791</v>
      </c>
      <c r="J6" s="33">
        <v>44478</v>
      </c>
      <c r="K6" s="33">
        <v>9574</v>
      </c>
      <c r="L6" s="33">
        <v>116298</v>
      </c>
      <c r="M6" s="33">
        <v>31347</v>
      </c>
      <c r="N6" s="33"/>
      <c r="O6" s="35"/>
      <c r="P6" s="35"/>
      <c r="Q6" s="39">
        <v>356188</v>
      </c>
      <c r="R6" s="156">
        <f t="shared" ref="R6:R47" si="0">SUM(C6:P6)-Q6</f>
        <v>0</v>
      </c>
      <c r="S6" s="29"/>
      <c r="T6" s="29"/>
    </row>
    <row r="7" spans="2:20" x14ac:dyDescent="0.15">
      <c r="B7" s="32" t="s">
        <v>29</v>
      </c>
      <c r="C7" s="33">
        <v>6767</v>
      </c>
      <c r="D7" s="33">
        <v>62206</v>
      </c>
      <c r="E7" s="33">
        <v>41698</v>
      </c>
      <c r="F7" s="33"/>
      <c r="G7" s="33">
        <v>17037</v>
      </c>
      <c r="H7" s="33">
        <v>43222</v>
      </c>
      <c r="I7" s="33">
        <v>19895</v>
      </c>
      <c r="J7" s="33">
        <v>49123</v>
      </c>
      <c r="K7" s="33">
        <v>11487</v>
      </c>
      <c r="L7" s="33">
        <v>103637</v>
      </c>
      <c r="M7" s="33">
        <v>1</v>
      </c>
      <c r="N7" s="33"/>
      <c r="O7" s="35"/>
      <c r="P7" s="35"/>
      <c r="Q7" s="39">
        <v>389543</v>
      </c>
      <c r="R7" s="156">
        <f t="shared" si="0"/>
        <v>-34470</v>
      </c>
      <c r="S7" s="29"/>
      <c r="T7" s="29"/>
    </row>
    <row r="8" spans="2:20" x14ac:dyDescent="0.15">
      <c r="B8" s="32" t="s">
        <v>30</v>
      </c>
      <c r="C8" s="33">
        <v>7531</v>
      </c>
      <c r="D8" s="33">
        <v>66675</v>
      </c>
      <c r="E8" s="33">
        <v>36594</v>
      </c>
      <c r="F8" s="33">
        <v>13079</v>
      </c>
      <c r="G8" s="33">
        <v>19253</v>
      </c>
      <c r="H8" s="33">
        <v>47032</v>
      </c>
      <c r="I8" s="33">
        <v>9667</v>
      </c>
      <c r="J8" s="33">
        <v>71223</v>
      </c>
      <c r="K8" s="33">
        <v>11680</v>
      </c>
      <c r="L8" s="33">
        <v>78471</v>
      </c>
      <c r="M8" s="33">
        <v>3</v>
      </c>
      <c r="N8" s="33">
        <v>33117</v>
      </c>
      <c r="O8" s="35"/>
      <c r="P8" s="35"/>
      <c r="Q8" s="39">
        <v>402012</v>
      </c>
      <c r="R8" s="156">
        <f t="shared" si="0"/>
        <v>-7687</v>
      </c>
      <c r="S8" s="29"/>
      <c r="T8" s="29"/>
    </row>
    <row r="9" spans="2:20" x14ac:dyDescent="0.15">
      <c r="B9" s="32" t="s">
        <v>31</v>
      </c>
      <c r="C9" s="33">
        <v>8346</v>
      </c>
      <c r="D9" s="33">
        <v>83575</v>
      </c>
      <c r="E9" s="33">
        <v>42990</v>
      </c>
      <c r="F9" s="33">
        <v>13786</v>
      </c>
      <c r="G9" s="33">
        <v>22490</v>
      </c>
      <c r="H9" s="33">
        <v>69894</v>
      </c>
      <c r="I9" s="33">
        <v>13734</v>
      </c>
      <c r="J9" s="33">
        <v>99695</v>
      </c>
      <c r="K9" s="33">
        <v>14180</v>
      </c>
      <c r="L9" s="33">
        <v>97446</v>
      </c>
      <c r="M9" s="33">
        <v>5</v>
      </c>
      <c r="N9" s="33">
        <v>32777</v>
      </c>
      <c r="O9" s="35"/>
      <c r="P9" s="35"/>
      <c r="Q9" s="39">
        <v>500303</v>
      </c>
      <c r="R9" s="156">
        <f t="shared" si="0"/>
        <v>-1385</v>
      </c>
      <c r="S9" s="29"/>
      <c r="T9" s="29"/>
    </row>
    <row r="10" spans="2:20" x14ac:dyDescent="0.15">
      <c r="B10" s="32" t="s">
        <v>32</v>
      </c>
      <c r="C10" s="33">
        <v>11772</v>
      </c>
      <c r="D10" s="33">
        <v>98764</v>
      </c>
      <c r="E10" s="33">
        <v>55261</v>
      </c>
      <c r="F10" s="33">
        <v>11736</v>
      </c>
      <c r="G10" s="33">
        <v>18138</v>
      </c>
      <c r="H10" s="33">
        <v>100939</v>
      </c>
      <c r="I10" s="33">
        <v>19188</v>
      </c>
      <c r="J10" s="33">
        <v>129508</v>
      </c>
      <c r="K10" s="33">
        <v>20100</v>
      </c>
      <c r="L10" s="33">
        <v>111069</v>
      </c>
      <c r="M10" s="33">
        <v>7</v>
      </c>
      <c r="N10" s="33">
        <v>36540</v>
      </c>
      <c r="O10" s="35" t="s">
        <v>27</v>
      </c>
      <c r="P10" s="35" t="s">
        <v>27</v>
      </c>
      <c r="Q10" s="39">
        <v>621002</v>
      </c>
      <c r="R10" s="156">
        <f t="shared" si="0"/>
        <v>-7980</v>
      </c>
      <c r="S10" s="29"/>
      <c r="T10" s="29"/>
    </row>
    <row r="11" spans="2:20" x14ac:dyDescent="0.15">
      <c r="B11" s="32" t="s">
        <v>33</v>
      </c>
      <c r="C11" s="33">
        <v>14554</v>
      </c>
      <c r="D11" s="33">
        <v>126384</v>
      </c>
      <c r="E11" s="33">
        <v>71072</v>
      </c>
      <c r="F11" s="33">
        <v>8166</v>
      </c>
      <c r="G11" s="33">
        <v>31921</v>
      </c>
      <c r="H11" s="33">
        <v>112734</v>
      </c>
      <c r="I11" s="33">
        <v>27330</v>
      </c>
      <c r="J11" s="33">
        <v>238884</v>
      </c>
      <c r="K11" s="33">
        <v>20788</v>
      </c>
      <c r="L11" s="33">
        <v>267876</v>
      </c>
      <c r="M11" s="33">
        <v>9</v>
      </c>
      <c r="N11" s="33">
        <v>42246</v>
      </c>
      <c r="O11" s="35"/>
      <c r="P11" s="35"/>
      <c r="Q11" s="39">
        <v>982055</v>
      </c>
      <c r="R11" s="156">
        <f t="shared" si="0"/>
        <v>-20091</v>
      </c>
      <c r="S11" s="29"/>
      <c r="T11" s="29"/>
    </row>
    <row r="12" spans="2:20" x14ac:dyDescent="0.15">
      <c r="B12" s="32" t="s">
        <v>34</v>
      </c>
      <c r="C12" s="33">
        <v>16861</v>
      </c>
      <c r="D12" s="33">
        <v>140421</v>
      </c>
      <c r="E12" s="33">
        <v>253316</v>
      </c>
      <c r="F12" s="33">
        <v>455</v>
      </c>
      <c r="G12" s="33">
        <v>35035</v>
      </c>
      <c r="H12" s="33">
        <v>103982</v>
      </c>
      <c r="I12" s="33">
        <v>25635</v>
      </c>
      <c r="J12" s="33">
        <v>353037</v>
      </c>
      <c r="K12" s="33">
        <v>44464</v>
      </c>
      <c r="L12" s="33">
        <v>245804</v>
      </c>
      <c r="M12" s="33">
        <v>11</v>
      </c>
      <c r="N12" s="33">
        <v>62286</v>
      </c>
      <c r="O12" s="35" t="s">
        <v>27</v>
      </c>
      <c r="P12" s="35" t="s">
        <v>27</v>
      </c>
      <c r="Q12" s="39">
        <v>1316001</v>
      </c>
      <c r="R12" s="156">
        <f t="shared" si="0"/>
        <v>-34694</v>
      </c>
      <c r="S12" s="29"/>
      <c r="T12" s="29"/>
    </row>
    <row r="13" spans="2:20" x14ac:dyDescent="0.15">
      <c r="B13" s="32" t="s">
        <v>35</v>
      </c>
      <c r="C13" s="33">
        <v>22065</v>
      </c>
      <c r="D13" s="33">
        <v>165429</v>
      </c>
      <c r="E13" s="33">
        <v>209311</v>
      </c>
      <c r="F13" s="33">
        <v>669</v>
      </c>
      <c r="G13" s="33">
        <v>56827</v>
      </c>
      <c r="H13" s="33">
        <v>121972</v>
      </c>
      <c r="I13" s="33">
        <v>22817</v>
      </c>
      <c r="J13" s="33">
        <v>298774</v>
      </c>
      <c r="K13" s="33">
        <v>64286</v>
      </c>
      <c r="L13" s="33">
        <v>189582</v>
      </c>
      <c r="M13" s="33">
        <v>13</v>
      </c>
      <c r="N13" s="33">
        <v>90437</v>
      </c>
      <c r="O13" s="35" t="s">
        <v>27</v>
      </c>
      <c r="P13" s="35" t="s">
        <v>27</v>
      </c>
      <c r="Q13" s="39">
        <v>1280043</v>
      </c>
      <c r="R13" s="156">
        <f t="shared" si="0"/>
        <v>-37861</v>
      </c>
      <c r="S13" s="29"/>
      <c r="T13" s="29"/>
    </row>
    <row r="14" spans="2:20" x14ac:dyDescent="0.15">
      <c r="B14" s="32" t="s">
        <v>36</v>
      </c>
      <c r="C14" s="33">
        <v>31385</v>
      </c>
      <c r="D14" s="33">
        <v>234823</v>
      </c>
      <c r="E14" s="33">
        <v>409619</v>
      </c>
      <c r="F14" s="33">
        <v>1114</v>
      </c>
      <c r="G14" s="33">
        <v>58257</v>
      </c>
      <c r="H14" s="33">
        <v>208667</v>
      </c>
      <c r="I14" s="33">
        <v>19719</v>
      </c>
      <c r="J14" s="33">
        <v>321672</v>
      </c>
      <c r="K14" s="33">
        <v>78314</v>
      </c>
      <c r="L14" s="33">
        <v>364756</v>
      </c>
      <c r="M14" s="33">
        <v>15</v>
      </c>
      <c r="N14" s="33">
        <v>118282</v>
      </c>
      <c r="O14" s="35" t="s">
        <v>27</v>
      </c>
      <c r="P14" s="35" t="s">
        <v>27</v>
      </c>
      <c r="Q14" s="39">
        <v>1873223</v>
      </c>
      <c r="R14" s="156">
        <f t="shared" si="0"/>
        <v>-26600</v>
      </c>
      <c r="S14" s="29"/>
      <c r="T14" s="29"/>
    </row>
    <row r="15" spans="2:20" x14ac:dyDescent="0.15">
      <c r="B15" s="32" t="s">
        <v>37</v>
      </c>
      <c r="C15" s="33">
        <v>38898</v>
      </c>
      <c r="D15" s="33">
        <v>259869</v>
      </c>
      <c r="E15" s="33">
        <v>334653</v>
      </c>
      <c r="F15" s="33">
        <v>1404</v>
      </c>
      <c r="G15" s="33">
        <v>62546</v>
      </c>
      <c r="H15" s="33">
        <v>275432</v>
      </c>
      <c r="I15" s="33">
        <v>18248</v>
      </c>
      <c r="J15" s="33">
        <v>276474</v>
      </c>
      <c r="K15" s="33">
        <v>72311</v>
      </c>
      <c r="L15" s="33">
        <v>243797</v>
      </c>
      <c r="M15" s="33">
        <v>16</v>
      </c>
      <c r="N15" s="33">
        <v>146503</v>
      </c>
      <c r="O15" s="35" t="s">
        <v>27</v>
      </c>
      <c r="P15" s="35" t="s">
        <v>27</v>
      </c>
      <c r="Q15" s="39">
        <v>1744713</v>
      </c>
      <c r="R15" s="156">
        <f t="shared" si="0"/>
        <v>-14562</v>
      </c>
      <c r="S15" s="29"/>
      <c r="T15" s="29"/>
    </row>
    <row r="16" spans="2:20" x14ac:dyDescent="0.15">
      <c r="B16" s="32" t="s">
        <v>38</v>
      </c>
      <c r="C16" s="33">
        <v>40518</v>
      </c>
      <c r="D16" s="33">
        <v>292021</v>
      </c>
      <c r="E16" s="33">
        <v>363394</v>
      </c>
      <c r="F16" s="33">
        <v>1509</v>
      </c>
      <c r="G16" s="33">
        <v>73815</v>
      </c>
      <c r="H16" s="33">
        <v>443668</v>
      </c>
      <c r="I16" s="33">
        <v>22582</v>
      </c>
      <c r="J16" s="33">
        <v>254749</v>
      </c>
      <c r="K16" s="33">
        <v>88293</v>
      </c>
      <c r="L16" s="33">
        <v>355189</v>
      </c>
      <c r="M16" s="33">
        <v>17</v>
      </c>
      <c r="N16" s="33">
        <v>176311</v>
      </c>
      <c r="O16" s="35" t="s">
        <v>27</v>
      </c>
      <c r="P16" s="35" t="s">
        <v>27</v>
      </c>
      <c r="Q16" s="39">
        <v>2121506</v>
      </c>
      <c r="R16" s="156">
        <f t="shared" si="0"/>
        <v>-9440</v>
      </c>
      <c r="S16" s="29"/>
      <c r="T16" s="29"/>
    </row>
    <row r="17" spans="2:20" x14ac:dyDescent="0.15">
      <c r="B17" s="32" t="s">
        <v>39</v>
      </c>
      <c r="C17" s="33">
        <v>45873</v>
      </c>
      <c r="D17" s="33">
        <v>323580</v>
      </c>
      <c r="E17" s="33">
        <v>480086</v>
      </c>
      <c r="F17" s="33">
        <v>2516</v>
      </c>
      <c r="G17" s="33">
        <v>95289</v>
      </c>
      <c r="H17" s="33">
        <v>451354</v>
      </c>
      <c r="I17" s="33">
        <v>33911</v>
      </c>
      <c r="J17" s="33">
        <v>392196</v>
      </c>
      <c r="K17" s="33">
        <v>87769</v>
      </c>
      <c r="L17" s="33">
        <v>483080</v>
      </c>
      <c r="M17" s="33">
        <v>19</v>
      </c>
      <c r="N17" s="33">
        <v>187848</v>
      </c>
      <c r="O17" s="35" t="s">
        <v>27</v>
      </c>
      <c r="P17" s="35" t="s">
        <v>27</v>
      </c>
      <c r="Q17" s="39">
        <v>2586410</v>
      </c>
      <c r="R17" s="156">
        <f t="shared" si="0"/>
        <v>-2889</v>
      </c>
      <c r="S17" s="29"/>
      <c r="T17" s="29"/>
    </row>
    <row r="18" spans="2:20" x14ac:dyDescent="0.15">
      <c r="B18" s="32" t="s">
        <v>40</v>
      </c>
      <c r="C18" s="33">
        <v>44883</v>
      </c>
      <c r="D18" s="33">
        <v>572610</v>
      </c>
      <c r="E18" s="33">
        <v>505576</v>
      </c>
      <c r="F18" s="33">
        <v>1560</v>
      </c>
      <c r="G18" s="33">
        <v>112407</v>
      </c>
      <c r="H18" s="33">
        <v>702729</v>
      </c>
      <c r="I18" s="33">
        <v>38533</v>
      </c>
      <c r="J18" s="33">
        <v>614766</v>
      </c>
      <c r="K18" s="33">
        <v>105374</v>
      </c>
      <c r="L18" s="33">
        <v>402737</v>
      </c>
      <c r="M18" s="33">
        <v>21</v>
      </c>
      <c r="N18" s="33">
        <v>229511</v>
      </c>
      <c r="O18" s="35" t="s">
        <v>27</v>
      </c>
      <c r="P18" s="35" t="s">
        <v>27</v>
      </c>
      <c r="Q18" s="39">
        <v>3341991</v>
      </c>
      <c r="R18" s="156">
        <f t="shared" si="0"/>
        <v>-11284</v>
      </c>
      <c r="S18" s="29"/>
      <c r="T18" s="29"/>
    </row>
    <row r="19" spans="2:20" x14ac:dyDescent="0.15">
      <c r="B19" s="32" t="s">
        <v>41</v>
      </c>
      <c r="C19" s="33">
        <v>45501</v>
      </c>
      <c r="D19" s="33">
        <v>713593</v>
      </c>
      <c r="E19" s="33">
        <v>482559</v>
      </c>
      <c r="F19" s="33">
        <v>1644</v>
      </c>
      <c r="G19" s="33">
        <v>113855</v>
      </c>
      <c r="H19" s="33">
        <v>394073</v>
      </c>
      <c r="I19" s="33">
        <v>52409</v>
      </c>
      <c r="J19" s="33">
        <v>354857</v>
      </c>
      <c r="K19" s="33">
        <v>105449</v>
      </c>
      <c r="L19" s="33">
        <v>511538</v>
      </c>
      <c r="M19" s="33">
        <v>7253</v>
      </c>
      <c r="N19" s="33">
        <v>363258</v>
      </c>
      <c r="O19" s="35" t="s">
        <v>27</v>
      </c>
      <c r="P19" s="33">
        <v>150527</v>
      </c>
      <c r="Q19" s="39">
        <v>3296516</v>
      </c>
      <c r="R19" s="156">
        <f t="shared" si="0"/>
        <v>0</v>
      </c>
      <c r="S19" s="29"/>
      <c r="T19" s="29"/>
    </row>
    <row r="20" spans="2:20" x14ac:dyDescent="0.15">
      <c r="B20" s="32" t="s">
        <v>42</v>
      </c>
      <c r="C20" s="33">
        <v>49623</v>
      </c>
      <c r="D20" s="33">
        <v>389935</v>
      </c>
      <c r="E20" s="33">
        <v>429653</v>
      </c>
      <c r="F20" s="33">
        <v>1729</v>
      </c>
      <c r="G20" s="33">
        <v>168656</v>
      </c>
      <c r="H20" s="33">
        <v>335632</v>
      </c>
      <c r="I20" s="33">
        <v>58484</v>
      </c>
      <c r="J20" s="33">
        <v>467974</v>
      </c>
      <c r="K20" s="33">
        <v>127556</v>
      </c>
      <c r="L20" s="33">
        <v>321700</v>
      </c>
      <c r="M20" s="33">
        <v>65403</v>
      </c>
      <c r="N20" s="33">
        <v>327331</v>
      </c>
      <c r="O20" s="35" t="s">
        <v>27</v>
      </c>
      <c r="P20" s="33">
        <v>119543</v>
      </c>
      <c r="Q20" s="39">
        <v>2863219</v>
      </c>
      <c r="R20" s="156">
        <f t="shared" si="0"/>
        <v>0</v>
      </c>
      <c r="S20" s="29"/>
      <c r="T20" s="29"/>
    </row>
    <row r="21" spans="2:20" x14ac:dyDescent="0.15">
      <c r="B21" s="32" t="s">
        <v>43</v>
      </c>
      <c r="C21" s="33">
        <v>62648</v>
      </c>
      <c r="D21" s="33">
        <v>531533</v>
      </c>
      <c r="E21" s="33">
        <v>452986</v>
      </c>
      <c r="F21" s="33">
        <v>1257</v>
      </c>
      <c r="G21" s="33">
        <v>196456</v>
      </c>
      <c r="H21" s="33">
        <v>411406</v>
      </c>
      <c r="I21" s="33">
        <v>114572</v>
      </c>
      <c r="J21" s="33">
        <v>578704</v>
      </c>
      <c r="K21" s="33">
        <v>135929</v>
      </c>
      <c r="L21" s="33">
        <v>757693</v>
      </c>
      <c r="M21" s="33">
        <v>33796</v>
      </c>
      <c r="N21" s="33">
        <v>223312</v>
      </c>
      <c r="O21" s="33">
        <v>12029</v>
      </c>
      <c r="P21" s="35" t="s">
        <v>27</v>
      </c>
      <c r="Q21" s="39">
        <v>3512321</v>
      </c>
      <c r="R21" s="156">
        <f t="shared" si="0"/>
        <v>0</v>
      </c>
      <c r="S21" s="29"/>
      <c r="T21" s="29"/>
    </row>
    <row r="22" spans="2:20" x14ac:dyDescent="0.15">
      <c r="B22" s="32" t="s">
        <v>44</v>
      </c>
      <c r="C22" s="33">
        <v>67922</v>
      </c>
      <c r="D22" s="33">
        <v>398794</v>
      </c>
      <c r="E22" s="33">
        <v>586295</v>
      </c>
      <c r="F22" s="33">
        <v>536</v>
      </c>
      <c r="G22" s="33">
        <v>199029</v>
      </c>
      <c r="H22" s="33">
        <v>397244</v>
      </c>
      <c r="I22" s="33">
        <v>133003</v>
      </c>
      <c r="J22" s="33">
        <v>610248</v>
      </c>
      <c r="K22" s="33">
        <v>150626</v>
      </c>
      <c r="L22" s="33">
        <v>1467130</v>
      </c>
      <c r="M22" s="33">
        <v>160870</v>
      </c>
      <c r="N22" s="33">
        <v>248628</v>
      </c>
      <c r="O22" s="35" t="s">
        <v>27</v>
      </c>
      <c r="P22" s="35" t="s">
        <v>27</v>
      </c>
      <c r="Q22" s="39">
        <v>4420325</v>
      </c>
      <c r="R22" s="156">
        <f t="shared" si="0"/>
        <v>0</v>
      </c>
      <c r="S22" s="29"/>
      <c r="T22" s="29"/>
    </row>
    <row r="23" spans="2:20" x14ac:dyDescent="0.15">
      <c r="B23" s="32" t="s">
        <v>45</v>
      </c>
      <c r="C23" s="33">
        <v>66674</v>
      </c>
      <c r="D23" s="33">
        <v>420327</v>
      </c>
      <c r="E23" s="33">
        <v>527860</v>
      </c>
      <c r="F23" s="33">
        <v>10</v>
      </c>
      <c r="G23" s="33">
        <v>213770</v>
      </c>
      <c r="H23" s="33">
        <v>315014</v>
      </c>
      <c r="I23" s="33">
        <v>139689</v>
      </c>
      <c r="J23" s="33">
        <v>551071</v>
      </c>
      <c r="K23" s="33">
        <v>139457</v>
      </c>
      <c r="L23" s="33">
        <v>1120938</v>
      </c>
      <c r="M23" s="33">
        <v>252499</v>
      </c>
      <c r="N23" s="33">
        <v>294713</v>
      </c>
      <c r="O23" s="35" t="s">
        <v>27</v>
      </c>
      <c r="P23" s="35" t="s">
        <v>27</v>
      </c>
      <c r="Q23" s="39">
        <v>4042022</v>
      </c>
      <c r="R23" s="156">
        <f t="shared" si="0"/>
        <v>0</v>
      </c>
      <c r="S23" s="29"/>
      <c r="T23" s="29"/>
    </row>
    <row r="24" spans="2:20" x14ac:dyDescent="0.15">
      <c r="B24" s="32" t="s">
        <v>46</v>
      </c>
      <c r="C24" s="33">
        <v>66858</v>
      </c>
      <c r="D24" s="33">
        <v>563248</v>
      </c>
      <c r="E24" s="33">
        <v>452678</v>
      </c>
      <c r="F24" s="33">
        <v>10</v>
      </c>
      <c r="G24" s="33">
        <v>209635</v>
      </c>
      <c r="H24" s="33">
        <v>289989</v>
      </c>
      <c r="I24" s="33">
        <v>113347</v>
      </c>
      <c r="J24" s="33">
        <v>501152</v>
      </c>
      <c r="K24" s="33">
        <v>145901</v>
      </c>
      <c r="L24" s="33">
        <v>880427</v>
      </c>
      <c r="M24" s="33">
        <v>141081</v>
      </c>
      <c r="N24" s="33">
        <v>302396</v>
      </c>
      <c r="O24" s="35" t="s">
        <v>27</v>
      </c>
      <c r="P24" s="35" t="s">
        <v>27</v>
      </c>
      <c r="Q24" s="39">
        <v>3666722</v>
      </c>
      <c r="R24" s="156">
        <f t="shared" si="0"/>
        <v>0</v>
      </c>
      <c r="S24" s="29"/>
      <c r="T24" s="29"/>
    </row>
    <row r="25" spans="2:20" x14ac:dyDescent="0.15">
      <c r="B25" s="32" t="s">
        <v>47</v>
      </c>
      <c r="C25" s="33">
        <v>69159</v>
      </c>
      <c r="D25" s="33">
        <v>550810</v>
      </c>
      <c r="E25" s="33">
        <v>589880</v>
      </c>
      <c r="F25" s="33" t="s">
        <v>27</v>
      </c>
      <c r="G25" s="33">
        <v>238874</v>
      </c>
      <c r="H25" s="33">
        <v>369909</v>
      </c>
      <c r="I25" s="33">
        <v>90011</v>
      </c>
      <c r="J25" s="33">
        <v>570130</v>
      </c>
      <c r="K25" s="33">
        <v>156298</v>
      </c>
      <c r="L25" s="33">
        <v>823956</v>
      </c>
      <c r="M25" s="33">
        <v>156656</v>
      </c>
      <c r="N25" s="33">
        <v>322236</v>
      </c>
      <c r="O25" s="35" t="s">
        <v>27</v>
      </c>
      <c r="P25" s="35" t="s">
        <v>27</v>
      </c>
      <c r="Q25" s="39">
        <v>3937919</v>
      </c>
      <c r="R25" s="156">
        <f t="shared" si="0"/>
        <v>0</v>
      </c>
      <c r="S25" s="29"/>
      <c r="T25" s="29"/>
    </row>
    <row r="26" spans="2:20" x14ac:dyDescent="0.15">
      <c r="B26" s="32" t="s">
        <v>48</v>
      </c>
      <c r="C26" s="33">
        <v>68174</v>
      </c>
      <c r="D26" s="33">
        <v>614612</v>
      </c>
      <c r="E26" s="33">
        <v>582958</v>
      </c>
      <c r="F26" s="33" t="s">
        <v>27</v>
      </c>
      <c r="G26" s="33">
        <v>315616</v>
      </c>
      <c r="H26" s="33">
        <v>497140</v>
      </c>
      <c r="I26" s="33">
        <v>143304</v>
      </c>
      <c r="J26" s="33">
        <v>608833</v>
      </c>
      <c r="K26" s="33">
        <v>188257</v>
      </c>
      <c r="L26" s="33">
        <v>907415</v>
      </c>
      <c r="M26" s="33">
        <v>30255</v>
      </c>
      <c r="N26" s="33">
        <v>340694</v>
      </c>
      <c r="O26" s="35" t="s">
        <v>27</v>
      </c>
      <c r="P26" s="35" t="s">
        <v>27</v>
      </c>
      <c r="Q26" s="39">
        <v>4297258</v>
      </c>
      <c r="R26" s="156">
        <f t="shared" si="0"/>
        <v>0</v>
      </c>
      <c r="S26" s="29"/>
      <c r="T26" s="29"/>
    </row>
    <row r="27" spans="2:20" x14ac:dyDescent="0.15">
      <c r="B27" s="32" t="s">
        <v>49</v>
      </c>
      <c r="C27" s="33">
        <v>78937</v>
      </c>
      <c r="D27" s="33">
        <v>586005</v>
      </c>
      <c r="E27" s="33">
        <v>542263</v>
      </c>
      <c r="F27" s="33">
        <v>21596</v>
      </c>
      <c r="G27" s="33">
        <v>258097</v>
      </c>
      <c r="H27" s="33">
        <v>711384</v>
      </c>
      <c r="I27" s="33">
        <v>83624</v>
      </c>
      <c r="J27" s="33">
        <v>704451</v>
      </c>
      <c r="K27" s="33">
        <v>336147</v>
      </c>
      <c r="L27" s="33">
        <v>1014823</v>
      </c>
      <c r="M27" s="33">
        <v>3734</v>
      </c>
      <c r="N27" s="33">
        <v>342916</v>
      </c>
      <c r="O27" s="35" t="s">
        <v>27</v>
      </c>
      <c r="P27" s="35" t="s">
        <v>27</v>
      </c>
      <c r="Q27" s="39">
        <v>4683977</v>
      </c>
      <c r="R27" s="156">
        <f t="shared" si="0"/>
        <v>0</v>
      </c>
      <c r="S27" s="29"/>
      <c r="T27" s="29"/>
    </row>
    <row r="28" spans="2:20" x14ac:dyDescent="0.15">
      <c r="B28" s="32" t="s">
        <v>50</v>
      </c>
      <c r="C28" s="33">
        <v>76444</v>
      </c>
      <c r="D28" s="33">
        <v>651103</v>
      </c>
      <c r="E28" s="33">
        <v>586069</v>
      </c>
      <c r="F28" s="33">
        <v>30712</v>
      </c>
      <c r="G28" s="33">
        <v>263828</v>
      </c>
      <c r="H28" s="33">
        <v>699959</v>
      </c>
      <c r="I28" s="33">
        <v>108699</v>
      </c>
      <c r="J28" s="33">
        <v>964356</v>
      </c>
      <c r="K28" s="33">
        <v>194253</v>
      </c>
      <c r="L28" s="33">
        <v>898293</v>
      </c>
      <c r="M28" s="33">
        <v>2621</v>
      </c>
      <c r="N28" s="33">
        <v>442405</v>
      </c>
      <c r="O28" s="35" t="s">
        <v>27</v>
      </c>
      <c r="P28" s="35" t="s">
        <v>27</v>
      </c>
      <c r="Q28" s="39">
        <v>4918742</v>
      </c>
      <c r="R28" s="156">
        <f t="shared" si="0"/>
        <v>0</v>
      </c>
      <c r="S28" s="29"/>
      <c r="T28" s="29"/>
    </row>
    <row r="29" spans="2:20" x14ac:dyDescent="0.15">
      <c r="B29" s="32" t="s">
        <v>51</v>
      </c>
      <c r="C29" s="33">
        <v>80729</v>
      </c>
      <c r="D29" s="33">
        <v>907088</v>
      </c>
      <c r="E29" s="33">
        <v>606200</v>
      </c>
      <c r="F29" s="33">
        <v>30847</v>
      </c>
      <c r="G29" s="33">
        <v>525110</v>
      </c>
      <c r="H29" s="33">
        <v>571134</v>
      </c>
      <c r="I29" s="33">
        <v>141023</v>
      </c>
      <c r="J29" s="33">
        <v>1096397</v>
      </c>
      <c r="K29" s="33">
        <v>216051</v>
      </c>
      <c r="L29" s="33">
        <v>1058313</v>
      </c>
      <c r="M29" s="33">
        <v>15296</v>
      </c>
      <c r="N29" s="33">
        <v>379500</v>
      </c>
      <c r="O29" s="35" t="s">
        <v>27</v>
      </c>
      <c r="P29" s="35" t="s">
        <v>27</v>
      </c>
      <c r="Q29" s="39">
        <v>5627688</v>
      </c>
      <c r="R29" s="156">
        <f t="shared" si="0"/>
        <v>0</v>
      </c>
      <c r="S29" s="29"/>
      <c r="T29" s="29"/>
    </row>
    <row r="30" spans="2:20" x14ac:dyDescent="0.15">
      <c r="B30" s="32" t="s">
        <v>53</v>
      </c>
      <c r="C30" s="33">
        <v>87204</v>
      </c>
      <c r="D30" s="33">
        <v>780439</v>
      </c>
      <c r="E30" s="33">
        <v>816319</v>
      </c>
      <c r="F30" s="33">
        <v>40802</v>
      </c>
      <c r="G30" s="33">
        <v>800453</v>
      </c>
      <c r="H30" s="33">
        <v>531036</v>
      </c>
      <c r="I30" s="33">
        <v>157937</v>
      </c>
      <c r="J30" s="33">
        <v>1452903</v>
      </c>
      <c r="K30" s="33">
        <v>240316</v>
      </c>
      <c r="L30" s="33">
        <v>1298237</v>
      </c>
      <c r="M30" s="35" t="s">
        <v>27</v>
      </c>
      <c r="N30" s="33">
        <v>433062</v>
      </c>
      <c r="O30" s="35" t="s">
        <v>27</v>
      </c>
      <c r="P30" s="35" t="s">
        <v>27</v>
      </c>
      <c r="Q30" s="39">
        <v>6638708</v>
      </c>
      <c r="R30" s="156">
        <f t="shared" si="0"/>
        <v>0</v>
      </c>
      <c r="S30" s="29"/>
      <c r="T30" s="29"/>
    </row>
    <row r="31" spans="2:20" x14ac:dyDescent="0.15">
      <c r="B31" s="32" t="s">
        <v>54</v>
      </c>
      <c r="C31" s="33">
        <v>96778</v>
      </c>
      <c r="D31" s="33">
        <v>1123033</v>
      </c>
      <c r="E31" s="33">
        <v>1245325</v>
      </c>
      <c r="F31" s="33">
        <v>40903</v>
      </c>
      <c r="G31" s="33">
        <v>720458</v>
      </c>
      <c r="H31" s="33">
        <v>669776</v>
      </c>
      <c r="I31" s="33">
        <v>159778</v>
      </c>
      <c r="J31" s="33">
        <v>1226469</v>
      </c>
      <c r="K31" s="33">
        <v>246469</v>
      </c>
      <c r="L31" s="33">
        <v>859309</v>
      </c>
      <c r="M31" s="33">
        <v>45209</v>
      </c>
      <c r="N31" s="33">
        <v>489287</v>
      </c>
      <c r="O31" s="35" t="s">
        <v>27</v>
      </c>
      <c r="P31" s="35" t="s">
        <v>27</v>
      </c>
      <c r="Q31" s="39">
        <v>6922794</v>
      </c>
      <c r="R31" s="156">
        <f t="shared" si="0"/>
        <v>0</v>
      </c>
      <c r="S31" s="29"/>
      <c r="T31" s="29"/>
    </row>
    <row r="32" spans="2:20" x14ac:dyDescent="0.15">
      <c r="B32" s="32" t="s">
        <v>55</v>
      </c>
      <c r="C32" s="33">
        <v>105993</v>
      </c>
      <c r="D32" s="33">
        <v>1145206</v>
      </c>
      <c r="E32" s="33">
        <v>1095305</v>
      </c>
      <c r="F32" s="33">
        <v>41000</v>
      </c>
      <c r="G32" s="33">
        <v>1153849</v>
      </c>
      <c r="H32" s="33">
        <v>622646</v>
      </c>
      <c r="I32" s="33">
        <v>159437</v>
      </c>
      <c r="J32" s="33">
        <v>1511514</v>
      </c>
      <c r="K32" s="33">
        <v>252346</v>
      </c>
      <c r="L32" s="33">
        <v>827900</v>
      </c>
      <c r="M32" s="33">
        <v>10375</v>
      </c>
      <c r="N32" s="33">
        <v>547170</v>
      </c>
      <c r="O32" s="35" t="s">
        <v>27</v>
      </c>
      <c r="P32" s="35" t="s">
        <v>27</v>
      </c>
      <c r="Q32" s="39">
        <v>7472741</v>
      </c>
      <c r="R32" s="156">
        <f t="shared" si="0"/>
        <v>0</v>
      </c>
      <c r="S32" s="29"/>
      <c r="T32" s="29"/>
    </row>
    <row r="33" spans="2:20" x14ac:dyDescent="0.15">
      <c r="B33" s="32" t="s">
        <v>56</v>
      </c>
      <c r="C33" s="33">
        <v>108437</v>
      </c>
      <c r="D33" s="33">
        <v>1161350</v>
      </c>
      <c r="E33" s="33">
        <v>1208007</v>
      </c>
      <c r="F33" s="33">
        <v>41311</v>
      </c>
      <c r="G33" s="33">
        <v>646712</v>
      </c>
      <c r="H33" s="33">
        <v>502732</v>
      </c>
      <c r="I33" s="33">
        <v>222157</v>
      </c>
      <c r="J33" s="33">
        <v>869896</v>
      </c>
      <c r="K33" s="33">
        <v>262118</v>
      </c>
      <c r="L33" s="33">
        <v>1021434</v>
      </c>
      <c r="M33" s="33">
        <v>1138</v>
      </c>
      <c r="N33" s="33">
        <v>625090</v>
      </c>
      <c r="O33" s="35" t="s">
        <v>27</v>
      </c>
      <c r="P33" s="35" t="s">
        <v>27</v>
      </c>
      <c r="Q33" s="39">
        <v>6670382</v>
      </c>
      <c r="R33" s="156">
        <f t="shared" si="0"/>
        <v>0</v>
      </c>
      <c r="S33" s="29"/>
      <c r="T33" s="29"/>
    </row>
    <row r="34" spans="2:20" x14ac:dyDescent="0.15">
      <c r="B34" s="32" t="s">
        <v>57</v>
      </c>
      <c r="C34" s="33">
        <v>107092</v>
      </c>
      <c r="D34" s="33">
        <v>1476457</v>
      </c>
      <c r="E34" s="33">
        <v>1137685</v>
      </c>
      <c r="F34" s="33">
        <v>41274</v>
      </c>
      <c r="G34" s="33">
        <v>723809</v>
      </c>
      <c r="H34" s="33">
        <v>627038</v>
      </c>
      <c r="I34" s="33">
        <v>208213</v>
      </c>
      <c r="J34" s="33">
        <v>854195</v>
      </c>
      <c r="K34" s="33">
        <v>288088</v>
      </c>
      <c r="L34" s="33">
        <v>1177524</v>
      </c>
      <c r="M34" s="33">
        <v>427</v>
      </c>
      <c r="N34" s="33">
        <v>833494</v>
      </c>
      <c r="O34" s="35" t="s">
        <v>27</v>
      </c>
      <c r="P34" s="35" t="s">
        <v>27</v>
      </c>
      <c r="Q34" s="39">
        <v>7475296</v>
      </c>
      <c r="R34" s="156">
        <f t="shared" si="0"/>
        <v>0</v>
      </c>
      <c r="S34" s="29"/>
      <c r="T34" s="29"/>
    </row>
    <row r="35" spans="2:20" x14ac:dyDescent="0.15">
      <c r="B35" s="32" t="s">
        <v>58</v>
      </c>
      <c r="C35" s="33">
        <v>108457</v>
      </c>
      <c r="D35" s="33">
        <v>1256703</v>
      </c>
      <c r="E35" s="33">
        <v>1233008</v>
      </c>
      <c r="F35" s="33">
        <v>46357</v>
      </c>
      <c r="G35" s="33">
        <v>796178</v>
      </c>
      <c r="H35" s="33">
        <v>942334</v>
      </c>
      <c r="I35" s="33">
        <v>228879</v>
      </c>
      <c r="J35" s="33">
        <v>1322643</v>
      </c>
      <c r="K35" s="33">
        <v>315073</v>
      </c>
      <c r="L35" s="33">
        <v>1581608</v>
      </c>
      <c r="M35" s="33">
        <v>682</v>
      </c>
      <c r="N35" s="33">
        <v>899519</v>
      </c>
      <c r="O35" s="35" t="s">
        <v>27</v>
      </c>
      <c r="P35" s="35" t="s">
        <v>27</v>
      </c>
      <c r="Q35" s="39">
        <v>8731441</v>
      </c>
      <c r="R35" s="156">
        <f t="shared" si="0"/>
        <v>0</v>
      </c>
      <c r="S35" s="29"/>
      <c r="T35" s="29"/>
    </row>
    <row r="36" spans="2:20" x14ac:dyDescent="0.15">
      <c r="B36" s="32" t="s">
        <v>59</v>
      </c>
      <c r="C36" s="33">
        <v>112485</v>
      </c>
      <c r="D36" s="33">
        <v>1580258</v>
      </c>
      <c r="E36" s="33">
        <v>1333149</v>
      </c>
      <c r="F36" s="33">
        <v>46573</v>
      </c>
      <c r="G36" s="33">
        <v>647041</v>
      </c>
      <c r="H36" s="33">
        <v>964979</v>
      </c>
      <c r="I36" s="33">
        <v>205276</v>
      </c>
      <c r="J36" s="33">
        <v>991470</v>
      </c>
      <c r="K36" s="33">
        <v>302919</v>
      </c>
      <c r="L36" s="33">
        <v>2095053</v>
      </c>
      <c r="M36" s="35" t="s">
        <v>27</v>
      </c>
      <c r="N36" s="33">
        <v>981370</v>
      </c>
      <c r="O36" s="35" t="s">
        <v>27</v>
      </c>
      <c r="P36" s="35" t="s">
        <v>27</v>
      </c>
      <c r="Q36" s="39">
        <v>9260573</v>
      </c>
      <c r="R36" s="156">
        <f t="shared" si="0"/>
        <v>0</v>
      </c>
      <c r="S36" s="29"/>
      <c r="T36" s="29"/>
    </row>
    <row r="37" spans="2:20" x14ac:dyDescent="0.15">
      <c r="B37" s="32" t="s">
        <v>60</v>
      </c>
      <c r="C37" s="33">
        <v>116806</v>
      </c>
      <c r="D37" s="33">
        <v>1234041</v>
      </c>
      <c r="E37" s="45">
        <v>1716406</v>
      </c>
      <c r="F37" s="45">
        <v>46470</v>
      </c>
      <c r="G37" s="33">
        <v>629686</v>
      </c>
      <c r="H37" s="33">
        <v>859582</v>
      </c>
      <c r="I37" s="33">
        <v>224168</v>
      </c>
      <c r="J37" s="33">
        <v>1037756</v>
      </c>
      <c r="K37" s="33">
        <v>343845</v>
      </c>
      <c r="L37" s="33">
        <v>1041628</v>
      </c>
      <c r="M37" s="45">
        <v>722</v>
      </c>
      <c r="N37" s="45">
        <v>1134448</v>
      </c>
      <c r="O37" s="35" t="s">
        <v>27</v>
      </c>
      <c r="P37" s="35" t="s">
        <v>27</v>
      </c>
      <c r="Q37" s="39">
        <v>8385558</v>
      </c>
      <c r="R37" s="156">
        <f t="shared" si="0"/>
        <v>0</v>
      </c>
      <c r="S37" s="29"/>
      <c r="T37" s="29"/>
    </row>
    <row r="38" spans="2:20" x14ac:dyDescent="0.15">
      <c r="B38" s="32" t="s">
        <v>62</v>
      </c>
      <c r="C38" s="33">
        <v>119519</v>
      </c>
      <c r="D38" s="33">
        <v>1579726</v>
      </c>
      <c r="E38" s="45">
        <v>2161018</v>
      </c>
      <c r="F38" s="45">
        <v>46534</v>
      </c>
      <c r="G38" s="40">
        <v>699118</v>
      </c>
      <c r="H38" s="40">
        <v>890314</v>
      </c>
      <c r="I38" s="33">
        <v>312229</v>
      </c>
      <c r="J38" s="33">
        <v>844926</v>
      </c>
      <c r="K38" s="33">
        <v>366306</v>
      </c>
      <c r="L38" s="33">
        <v>1030235</v>
      </c>
      <c r="M38" s="40">
        <v>3377</v>
      </c>
      <c r="N38" s="33">
        <v>1182707</v>
      </c>
      <c r="O38" s="35" t="s">
        <v>27</v>
      </c>
      <c r="P38" s="35" t="s">
        <v>27</v>
      </c>
      <c r="Q38" s="44">
        <v>9236009</v>
      </c>
      <c r="R38" s="156">
        <f t="shared" si="0"/>
        <v>0</v>
      </c>
      <c r="S38" s="29"/>
      <c r="T38" s="29"/>
    </row>
    <row r="39" spans="2:20" x14ac:dyDescent="0.15">
      <c r="B39" s="32" t="s">
        <v>63</v>
      </c>
      <c r="C39" s="33">
        <v>119997</v>
      </c>
      <c r="D39" s="33">
        <v>1129629</v>
      </c>
      <c r="E39" s="33">
        <v>2050990</v>
      </c>
      <c r="F39" s="33">
        <v>46502</v>
      </c>
      <c r="G39" s="33">
        <v>689837</v>
      </c>
      <c r="H39" s="33">
        <v>720347</v>
      </c>
      <c r="I39" s="33">
        <v>773872</v>
      </c>
      <c r="J39" s="33">
        <v>1652904</v>
      </c>
      <c r="K39" s="33">
        <v>342130</v>
      </c>
      <c r="L39" s="33">
        <v>942858</v>
      </c>
      <c r="M39" s="33">
        <v>313346</v>
      </c>
      <c r="N39" s="33">
        <v>984105</v>
      </c>
      <c r="O39" s="35" t="s">
        <v>27</v>
      </c>
      <c r="P39" s="35" t="s">
        <v>27</v>
      </c>
      <c r="Q39" s="39">
        <v>9766517</v>
      </c>
      <c r="R39" s="156">
        <f t="shared" si="0"/>
        <v>0</v>
      </c>
      <c r="S39" s="29"/>
      <c r="T39" s="29"/>
    </row>
    <row r="40" spans="2:20" x14ac:dyDescent="0.15">
      <c r="B40" s="32" t="s">
        <v>64</v>
      </c>
      <c r="C40" s="33">
        <v>117615</v>
      </c>
      <c r="D40" s="33">
        <v>2347881</v>
      </c>
      <c r="E40" s="33">
        <v>1640243</v>
      </c>
      <c r="F40" s="33">
        <v>55968</v>
      </c>
      <c r="G40" s="33">
        <v>705085</v>
      </c>
      <c r="H40" s="33">
        <v>618406</v>
      </c>
      <c r="I40" s="33">
        <v>435977</v>
      </c>
      <c r="J40" s="33">
        <v>822217</v>
      </c>
      <c r="K40" s="33">
        <v>349638</v>
      </c>
      <c r="L40" s="33">
        <v>1004290</v>
      </c>
      <c r="M40" s="33">
        <v>190604</v>
      </c>
      <c r="N40" s="33">
        <v>1108677</v>
      </c>
      <c r="O40" s="35" t="s">
        <v>27</v>
      </c>
      <c r="P40" s="35" t="s">
        <v>27</v>
      </c>
      <c r="Q40" s="39">
        <v>9396601</v>
      </c>
      <c r="R40" s="156">
        <f t="shared" si="0"/>
        <v>0</v>
      </c>
      <c r="S40" s="29"/>
      <c r="T40" s="29"/>
    </row>
    <row r="41" spans="2:20" s="159" customFormat="1" x14ac:dyDescent="0.15">
      <c r="B41" s="157" t="s">
        <v>65</v>
      </c>
      <c r="C41" s="45">
        <v>114782</v>
      </c>
      <c r="D41" s="45">
        <v>1881277</v>
      </c>
      <c r="E41" s="45">
        <v>1827486</v>
      </c>
      <c r="F41" s="45">
        <v>55866</v>
      </c>
      <c r="G41" s="45">
        <v>728959</v>
      </c>
      <c r="H41" s="45">
        <v>767850</v>
      </c>
      <c r="I41" s="45">
        <v>439725</v>
      </c>
      <c r="J41" s="45">
        <v>1126547</v>
      </c>
      <c r="K41" s="45">
        <v>357765</v>
      </c>
      <c r="L41" s="45">
        <v>1058249</v>
      </c>
      <c r="M41" s="45">
        <v>256168</v>
      </c>
      <c r="N41" s="45">
        <v>1092383</v>
      </c>
      <c r="O41" s="35" t="s">
        <v>27</v>
      </c>
      <c r="P41" s="35" t="s">
        <v>27</v>
      </c>
      <c r="Q41" s="48">
        <v>9707057</v>
      </c>
      <c r="R41" s="158">
        <f t="shared" si="0"/>
        <v>0</v>
      </c>
      <c r="S41" s="158"/>
      <c r="T41" s="158"/>
    </row>
    <row r="42" spans="2:20" x14ac:dyDescent="0.15">
      <c r="B42" s="32" t="s">
        <v>66</v>
      </c>
      <c r="C42" s="45">
        <v>109744</v>
      </c>
      <c r="D42" s="45">
        <v>1125671</v>
      </c>
      <c r="E42" s="45">
        <v>1831315</v>
      </c>
      <c r="F42" s="45">
        <v>55874</v>
      </c>
      <c r="G42" s="45">
        <v>939975</v>
      </c>
      <c r="H42" s="45">
        <v>740317</v>
      </c>
      <c r="I42" s="45">
        <v>591683</v>
      </c>
      <c r="J42" s="45">
        <v>782177</v>
      </c>
      <c r="K42" s="45">
        <v>340370</v>
      </c>
      <c r="L42" s="45">
        <v>885559</v>
      </c>
      <c r="M42" s="45">
        <v>193012</v>
      </c>
      <c r="N42" s="45">
        <v>1127339</v>
      </c>
      <c r="O42" s="35" t="s">
        <v>27</v>
      </c>
      <c r="P42" s="35" t="s">
        <v>27</v>
      </c>
      <c r="Q42" s="48">
        <v>8723036</v>
      </c>
      <c r="R42" s="156">
        <f t="shared" si="0"/>
        <v>0</v>
      </c>
      <c r="S42" s="29"/>
      <c r="T42" s="29"/>
    </row>
    <row r="43" spans="2:20" x14ac:dyDescent="0.15">
      <c r="B43" s="32" t="s">
        <v>67</v>
      </c>
      <c r="C43" s="40">
        <v>95919</v>
      </c>
      <c r="D43" s="40">
        <v>1882780</v>
      </c>
      <c r="E43" s="40">
        <v>1936330</v>
      </c>
      <c r="F43" s="40">
        <v>55921</v>
      </c>
      <c r="G43" s="40">
        <v>752411</v>
      </c>
      <c r="H43" s="40">
        <v>556080</v>
      </c>
      <c r="I43" s="40">
        <v>586727</v>
      </c>
      <c r="J43" s="40">
        <v>773812</v>
      </c>
      <c r="K43" s="40">
        <v>346030</v>
      </c>
      <c r="L43" s="40">
        <v>853624</v>
      </c>
      <c r="M43" s="45">
        <v>7318</v>
      </c>
      <c r="N43" s="45">
        <v>1109663</v>
      </c>
      <c r="O43" s="35" t="s">
        <v>27</v>
      </c>
      <c r="P43" s="35" t="s">
        <v>27</v>
      </c>
      <c r="Q43" s="44">
        <v>8956615</v>
      </c>
      <c r="R43" s="156">
        <f t="shared" si="0"/>
        <v>0</v>
      </c>
      <c r="S43" s="29"/>
      <c r="T43" s="29"/>
    </row>
    <row r="44" spans="2:20" x14ac:dyDescent="0.15">
      <c r="B44" s="157" t="s">
        <v>68</v>
      </c>
      <c r="C44" s="45">
        <v>92582</v>
      </c>
      <c r="D44" s="45">
        <v>1621785</v>
      </c>
      <c r="E44" s="45">
        <v>1912168</v>
      </c>
      <c r="F44" s="45">
        <v>55555</v>
      </c>
      <c r="G44" s="45">
        <v>805728</v>
      </c>
      <c r="H44" s="45">
        <v>475933</v>
      </c>
      <c r="I44" s="45">
        <v>681311</v>
      </c>
      <c r="J44" s="45">
        <v>1231612</v>
      </c>
      <c r="K44" s="45">
        <v>341481</v>
      </c>
      <c r="L44" s="45">
        <v>755282</v>
      </c>
      <c r="M44" s="45">
        <v>22942</v>
      </c>
      <c r="N44" s="45">
        <v>1045263</v>
      </c>
      <c r="O44" s="35" t="s">
        <v>27</v>
      </c>
      <c r="P44" s="35" t="s">
        <v>27</v>
      </c>
      <c r="Q44" s="48">
        <v>9041642</v>
      </c>
      <c r="R44" s="158">
        <f>SUM(C44:P44)-Q44</f>
        <v>0</v>
      </c>
      <c r="S44" s="29"/>
      <c r="T44" s="29"/>
    </row>
    <row r="45" spans="2:20" x14ac:dyDescent="0.15">
      <c r="B45" s="32" t="s">
        <v>69</v>
      </c>
      <c r="C45" s="45">
        <v>91021</v>
      </c>
      <c r="D45" s="45">
        <v>1135545</v>
      </c>
      <c r="E45" s="45">
        <v>1868978</v>
      </c>
      <c r="F45" s="45">
        <v>55527</v>
      </c>
      <c r="G45" s="45">
        <v>747380</v>
      </c>
      <c r="H45" s="45">
        <v>440771</v>
      </c>
      <c r="I45" s="45">
        <v>543594</v>
      </c>
      <c r="J45" s="45">
        <v>661754</v>
      </c>
      <c r="K45" s="45">
        <v>586457</v>
      </c>
      <c r="L45" s="160">
        <v>727314</v>
      </c>
      <c r="M45" s="45">
        <v>39566</v>
      </c>
      <c r="N45" s="45">
        <v>1370569</v>
      </c>
      <c r="O45" s="35" t="s">
        <v>27</v>
      </c>
      <c r="P45" s="35" t="s">
        <v>27</v>
      </c>
      <c r="Q45" s="48">
        <v>8268476</v>
      </c>
      <c r="R45" s="158">
        <f>SUM(C45:P45)-Q45</f>
        <v>0</v>
      </c>
      <c r="S45" s="29"/>
      <c r="T45" s="29"/>
    </row>
    <row r="46" spans="2:20" s="159" customFormat="1" x14ac:dyDescent="0.15">
      <c r="B46" s="157" t="s">
        <v>70</v>
      </c>
      <c r="C46" s="45">
        <v>92127</v>
      </c>
      <c r="D46" s="45">
        <v>1429592</v>
      </c>
      <c r="E46" s="45">
        <v>1886410</v>
      </c>
      <c r="F46" s="45">
        <v>55630</v>
      </c>
      <c r="G46" s="45">
        <v>689572</v>
      </c>
      <c r="H46" s="45">
        <v>415313</v>
      </c>
      <c r="I46" s="45">
        <v>654839</v>
      </c>
      <c r="J46" s="45">
        <v>787251</v>
      </c>
      <c r="K46" s="45">
        <v>320330</v>
      </c>
      <c r="L46" s="45">
        <v>977766</v>
      </c>
      <c r="M46" s="45">
        <v>162634</v>
      </c>
      <c r="N46" s="45">
        <v>953071</v>
      </c>
      <c r="O46" s="35" t="s">
        <v>27</v>
      </c>
      <c r="P46" s="35" t="s">
        <v>27</v>
      </c>
      <c r="Q46" s="48">
        <v>8424535</v>
      </c>
      <c r="R46" s="158">
        <f>SUM(C46:P46)-Q46</f>
        <v>0</v>
      </c>
      <c r="S46" s="158"/>
      <c r="T46" s="158"/>
    </row>
    <row r="47" spans="2:20" s="159" customFormat="1" x14ac:dyDescent="0.15">
      <c r="B47" s="157" t="s">
        <v>71</v>
      </c>
      <c r="C47" s="45">
        <v>88347</v>
      </c>
      <c r="D47" s="45">
        <v>1562479</v>
      </c>
      <c r="E47" s="45">
        <v>2277273</v>
      </c>
      <c r="F47" s="45">
        <v>55682</v>
      </c>
      <c r="G47" s="45">
        <v>718353</v>
      </c>
      <c r="H47" s="45">
        <v>406784</v>
      </c>
      <c r="I47" s="45">
        <v>810606</v>
      </c>
      <c r="J47" s="45">
        <v>673163</v>
      </c>
      <c r="K47" s="45">
        <v>343732</v>
      </c>
      <c r="L47" s="45">
        <v>1003891</v>
      </c>
      <c r="M47" s="45">
        <v>115240</v>
      </c>
      <c r="N47" s="45">
        <v>959602</v>
      </c>
      <c r="O47" s="35" t="s">
        <v>27</v>
      </c>
      <c r="P47" s="35" t="s">
        <v>27</v>
      </c>
      <c r="Q47" s="48">
        <v>9015152</v>
      </c>
      <c r="R47" s="158">
        <f t="shared" si="0"/>
        <v>0</v>
      </c>
      <c r="S47" s="158"/>
      <c r="T47" s="158"/>
    </row>
    <row r="48" spans="2:20" s="159" customFormat="1" x14ac:dyDescent="0.15">
      <c r="B48" s="157" t="s">
        <v>131</v>
      </c>
      <c r="C48" s="45">
        <v>89208</v>
      </c>
      <c r="D48" s="45">
        <v>1280404</v>
      </c>
      <c r="E48" s="45">
        <v>2379286</v>
      </c>
      <c r="F48" s="45">
        <v>55586</v>
      </c>
      <c r="G48" s="45">
        <v>645278</v>
      </c>
      <c r="H48" s="45">
        <v>542382</v>
      </c>
      <c r="I48" s="45">
        <v>595786</v>
      </c>
      <c r="J48" s="45">
        <v>767034</v>
      </c>
      <c r="K48" s="45">
        <v>336222</v>
      </c>
      <c r="L48" s="45">
        <v>689897</v>
      </c>
      <c r="M48" s="45">
        <v>11405</v>
      </c>
      <c r="N48" s="45">
        <v>953921</v>
      </c>
      <c r="O48" s="35" t="s">
        <v>27</v>
      </c>
      <c r="P48" s="35" t="s">
        <v>27</v>
      </c>
      <c r="Q48" s="48">
        <v>8346409</v>
      </c>
      <c r="R48" s="158">
        <f>SUM(C48:P48)-Q48</f>
        <v>0</v>
      </c>
      <c r="S48" s="158"/>
      <c r="T48" s="158"/>
    </row>
    <row r="49" spans="2:20" s="159" customFormat="1" x14ac:dyDescent="0.15">
      <c r="B49" s="157" t="s">
        <v>132</v>
      </c>
      <c r="C49" s="45">
        <v>155365</v>
      </c>
      <c r="D49" s="45">
        <v>1435781</v>
      </c>
      <c r="E49" s="45">
        <v>2207479</v>
      </c>
      <c r="F49" s="45">
        <v>55626</v>
      </c>
      <c r="G49" s="45">
        <v>667292</v>
      </c>
      <c r="H49" s="45">
        <v>467192</v>
      </c>
      <c r="I49" s="45">
        <v>593998</v>
      </c>
      <c r="J49" s="45">
        <v>642184</v>
      </c>
      <c r="K49" s="45">
        <v>325899</v>
      </c>
      <c r="L49" s="45">
        <v>917446</v>
      </c>
      <c r="M49" s="45">
        <v>4889</v>
      </c>
      <c r="N49" s="45">
        <v>927899</v>
      </c>
      <c r="O49" s="35" t="s">
        <v>27</v>
      </c>
      <c r="P49" s="35" t="s">
        <v>27</v>
      </c>
      <c r="Q49" s="48">
        <v>8401050</v>
      </c>
      <c r="R49" s="158">
        <f>SUM(C49:P49)-Q49</f>
        <v>0</v>
      </c>
      <c r="S49" s="158"/>
      <c r="T49" s="158"/>
    </row>
    <row r="50" spans="2:20" s="159" customFormat="1" x14ac:dyDescent="0.15">
      <c r="B50" s="157" t="s">
        <v>161</v>
      </c>
      <c r="C50" s="45">
        <v>86483</v>
      </c>
      <c r="D50" s="45">
        <v>1479427</v>
      </c>
      <c r="E50" s="45">
        <v>2576463</v>
      </c>
      <c r="F50" s="45">
        <v>55732</v>
      </c>
      <c r="G50" s="45">
        <v>688420</v>
      </c>
      <c r="H50" s="45">
        <v>535840</v>
      </c>
      <c r="I50" s="45">
        <v>545422</v>
      </c>
      <c r="J50" s="45">
        <v>870491</v>
      </c>
      <c r="K50" s="45">
        <v>331096</v>
      </c>
      <c r="L50" s="45">
        <v>1489991</v>
      </c>
      <c r="M50" s="45">
        <v>1433</v>
      </c>
      <c r="N50" s="45">
        <v>959582</v>
      </c>
      <c r="O50" s="35" t="s">
        <v>26</v>
      </c>
      <c r="P50" s="35" t="s">
        <v>26</v>
      </c>
      <c r="Q50" s="48">
        <v>9620380</v>
      </c>
      <c r="R50" s="158">
        <f>SUM(C50:P50)-Q50</f>
        <v>0</v>
      </c>
      <c r="S50" s="158"/>
      <c r="T50" s="158"/>
    </row>
    <row r="51" spans="2:20" s="159" customFormat="1" x14ac:dyDescent="0.15">
      <c r="B51" s="157" t="s">
        <v>134</v>
      </c>
      <c r="C51" s="45">
        <v>111345</v>
      </c>
      <c r="D51" s="45">
        <v>1186199</v>
      </c>
      <c r="E51" s="45">
        <v>2644896</v>
      </c>
      <c r="F51" s="45">
        <v>55469</v>
      </c>
      <c r="G51" s="45">
        <v>708774</v>
      </c>
      <c r="H51" s="45">
        <v>544037</v>
      </c>
      <c r="I51" s="45">
        <v>539846</v>
      </c>
      <c r="J51" s="45">
        <v>742256</v>
      </c>
      <c r="K51" s="45">
        <v>326667</v>
      </c>
      <c r="L51" s="45">
        <v>887966</v>
      </c>
      <c r="M51" s="45">
        <v>13004</v>
      </c>
      <c r="N51" s="45">
        <v>1061166</v>
      </c>
      <c r="O51" s="35" t="s">
        <v>27</v>
      </c>
      <c r="P51" s="35" t="s">
        <v>27</v>
      </c>
      <c r="Q51" s="48">
        <v>8821625</v>
      </c>
      <c r="R51" s="158">
        <f>SUM(C51:P51)-Q51</f>
        <v>0</v>
      </c>
      <c r="S51" s="158"/>
      <c r="T51" s="158"/>
    </row>
    <row r="52" spans="2:20" s="159" customFormat="1" x14ac:dyDescent="0.15">
      <c r="B52" s="157" t="s">
        <v>78</v>
      </c>
      <c r="C52" s="45">
        <v>103698</v>
      </c>
      <c r="D52" s="45">
        <v>982820</v>
      </c>
      <c r="E52" s="45">
        <v>2605530</v>
      </c>
      <c r="F52" s="45">
        <v>20473</v>
      </c>
      <c r="G52" s="45">
        <v>666322</v>
      </c>
      <c r="H52" s="45">
        <v>467503</v>
      </c>
      <c r="I52" s="45">
        <v>633769</v>
      </c>
      <c r="J52" s="45">
        <v>852759</v>
      </c>
      <c r="K52" s="45">
        <v>545603</v>
      </c>
      <c r="L52" s="45">
        <v>994858</v>
      </c>
      <c r="M52" s="45">
        <v>17563</v>
      </c>
      <c r="N52" s="45">
        <v>843561</v>
      </c>
      <c r="O52" s="35" t="s">
        <v>26</v>
      </c>
      <c r="P52" s="35" t="s">
        <v>26</v>
      </c>
      <c r="Q52" s="48">
        <v>8734459</v>
      </c>
      <c r="R52" s="158">
        <f>SUM(C52:P52)-Q52</f>
        <v>0</v>
      </c>
      <c r="S52" s="158"/>
      <c r="T52" s="158"/>
    </row>
    <row r="53" spans="2:20" s="166" customFormat="1" ht="12" customHeight="1" x14ac:dyDescent="0.4">
      <c r="B53" s="161" t="s">
        <v>136</v>
      </c>
      <c r="C53" s="162">
        <v>101481</v>
      </c>
      <c r="D53" s="162">
        <v>1043168</v>
      </c>
      <c r="E53" s="162">
        <v>2794681</v>
      </c>
      <c r="F53" s="162">
        <v>20506</v>
      </c>
      <c r="G53" s="162">
        <v>607570</v>
      </c>
      <c r="H53" s="162">
        <v>544612</v>
      </c>
      <c r="I53" s="162">
        <v>480544</v>
      </c>
      <c r="J53" s="162">
        <v>890087</v>
      </c>
      <c r="K53" s="162">
        <v>357143</v>
      </c>
      <c r="L53" s="162">
        <v>869783</v>
      </c>
      <c r="M53" s="162">
        <v>14465</v>
      </c>
      <c r="N53" s="162">
        <v>817145</v>
      </c>
      <c r="O53" s="163" t="s">
        <v>27</v>
      </c>
      <c r="P53" s="163" t="s">
        <v>27</v>
      </c>
      <c r="Q53" s="164">
        <v>8541185</v>
      </c>
      <c r="R53" s="165">
        <f t="shared" ref="R53:R60" si="1">SUM(C53:P53)-Q53</f>
        <v>0</v>
      </c>
      <c r="S53" s="165"/>
      <c r="T53" s="165"/>
    </row>
    <row r="54" spans="2:20" s="166" customFormat="1" ht="12" customHeight="1" x14ac:dyDescent="0.4">
      <c r="B54" s="161" t="s">
        <v>137</v>
      </c>
      <c r="C54" s="162">
        <v>103965</v>
      </c>
      <c r="D54" s="162">
        <v>1020449</v>
      </c>
      <c r="E54" s="162">
        <v>3335325</v>
      </c>
      <c r="F54" s="162">
        <v>20353</v>
      </c>
      <c r="G54" s="162">
        <v>681446</v>
      </c>
      <c r="H54" s="162">
        <v>594846</v>
      </c>
      <c r="I54" s="162">
        <v>517891</v>
      </c>
      <c r="J54" s="162">
        <v>943576</v>
      </c>
      <c r="K54" s="162">
        <v>435549</v>
      </c>
      <c r="L54" s="162">
        <v>1257536</v>
      </c>
      <c r="M54" s="162">
        <v>17375</v>
      </c>
      <c r="N54" s="162">
        <v>822991</v>
      </c>
      <c r="O54" s="163" t="s">
        <v>27</v>
      </c>
      <c r="P54" s="163" t="s">
        <v>27</v>
      </c>
      <c r="Q54" s="164">
        <v>9751302</v>
      </c>
      <c r="R54" s="165">
        <f t="shared" si="1"/>
        <v>0</v>
      </c>
      <c r="S54" s="165"/>
      <c r="T54" s="165"/>
    </row>
    <row r="55" spans="2:20" s="166" customFormat="1" ht="12" customHeight="1" x14ac:dyDescent="0.4">
      <c r="B55" s="161" t="s">
        <v>138</v>
      </c>
      <c r="C55" s="162">
        <v>106410</v>
      </c>
      <c r="D55" s="162">
        <v>1130794</v>
      </c>
      <c r="E55" s="162">
        <v>2794551</v>
      </c>
      <c r="F55" s="162">
        <v>20300</v>
      </c>
      <c r="G55" s="162">
        <v>635762</v>
      </c>
      <c r="H55" s="162">
        <v>549836</v>
      </c>
      <c r="I55" s="162">
        <v>568082</v>
      </c>
      <c r="J55" s="162">
        <v>795139</v>
      </c>
      <c r="K55" s="162">
        <v>326861</v>
      </c>
      <c r="L55" s="162">
        <v>1029999</v>
      </c>
      <c r="M55" s="162">
        <v>1402</v>
      </c>
      <c r="N55" s="162">
        <v>865660</v>
      </c>
      <c r="O55" s="163" t="s">
        <v>27</v>
      </c>
      <c r="P55" s="163" t="s">
        <v>27</v>
      </c>
      <c r="Q55" s="164">
        <v>8824796</v>
      </c>
      <c r="R55" s="165">
        <f t="shared" si="1"/>
        <v>0</v>
      </c>
      <c r="S55" s="165"/>
      <c r="T55" s="165"/>
    </row>
    <row r="56" spans="2:20" s="166" customFormat="1" ht="12" customHeight="1" x14ac:dyDescent="0.4">
      <c r="B56" s="161" t="s">
        <v>139</v>
      </c>
      <c r="C56" s="162">
        <v>100639</v>
      </c>
      <c r="D56" s="162">
        <v>1151093</v>
      </c>
      <c r="E56" s="162">
        <v>2923691</v>
      </c>
      <c r="F56" s="162">
        <v>20390</v>
      </c>
      <c r="G56" s="162">
        <v>745149</v>
      </c>
      <c r="H56" s="162">
        <v>562900</v>
      </c>
      <c r="I56" s="162">
        <v>530929</v>
      </c>
      <c r="J56" s="162">
        <v>907283</v>
      </c>
      <c r="K56" s="162">
        <v>325934</v>
      </c>
      <c r="L56" s="162">
        <v>817140</v>
      </c>
      <c r="M56" s="162">
        <v>1089</v>
      </c>
      <c r="N56" s="162">
        <v>912845</v>
      </c>
      <c r="O56" s="163" t="s">
        <v>27</v>
      </c>
      <c r="P56" s="163" t="s">
        <v>27</v>
      </c>
      <c r="Q56" s="164">
        <v>8999082</v>
      </c>
      <c r="R56" s="165">
        <f t="shared" si="1"/>
        <v>0</v>
      </c>
      <c r="S56" s="165"/>
      <c r="T56" s="165"/>
    </row>
    <row r="57" spans="2:20" s="166" customFormat="1" ht="12" customHeight="1" x14ac:dyDescent="0.4">
      <c r="B57" s="161" t="s">
        <v>140</v>
      </c>
      <c r="C57" s="162">
        <v>105277</v>
      </c>
      <c r="D57" s="162">
        <v>1105514</v>
      </c>
      <c r="E57" s="162">
        <v>3717156</v>
      </c>
      <c r="F57" s="162">
        <v>20320</v>
      </c>
      <c r="G57" s="162">
        <v>688590</v>
      </c>
      <c r="H57" s="162">
        <v>459309</v>
      </c>
      <c r="I57" s="162">
        <v>647290</v>
      </c>
      <c r="J57" s="162">
        <v>886539</v>
      </c>
      <c r="K57" s="162">
        <v>345525</v>
      </c>
      <c r="L57" s="162">
        <v>770166</v>
      </c>
      <c r="M57" s="162">
        <v>29050</v>
      </c>
      <c r="N57" s="162">
        <v>934769</v>
      </c>
      <c r="O57" s="163" t="s">
        <v>27</v>
      </c>
      <c r="P57" s="163" t="s">
        <v>27</v>
      </c>
      <c r="Q57" s="164">
        <v>9709505</v>
      </c>
      <c r="R57" s="165">
        <f t="shared" si="1"/>
        <v>0</v>
      </c>
      <c r="S57" s="165"/>
      <c r="T57" s="165"/>
    </row>
    <row r="58" spans="2:20" s="166" customFormat="1" ht="12" customHeight="1" x14ac:dyDescent="0.4">
      <c r="B58" s="167" t="s">
        <v>141</v>
      </c>
      <c r="C58" s="168">
        <v>99327</v>
      </c>
      <c r="D58" s="168">
        <v>1250853</v>
      </c>
      <c r="E58" s="168">
        <v>3001641</v>
      </c>
      <c r="F58" s="168">
        <v>20348</v>
      </c>
      <c r="G58" s="168">
        <v>713020</v>
      </c>
      <c r="H58" s="168">
        <v>467134</v>
      </c>
      <c r="I58" s="168">
        <v>523663</v>
      </c>
      <c r="J58" s="168">
        <v>856911</v>
      </c>
      <c r="K58" s="168">
        <v>331827</v>
      </c>
      <c r="L58" s="168">
        <v>775198</v>
      </c>
      <c r="M58" s="168">
        <v>73152</v>
      </c>
      <c r="N58" s="168">
        <v>915833</v>
      </c>
      <c r="O58" s="169" t="s">
        <v>26</v>
      </c>
      <c r="P58" s="169" t="s">
        <v>26</v>
      </c>
      <c r="Q58" s="170">
        <v>9028907</v>
      </c>
      <c r="R58" s="165">
        <f t="shared" si="1"/>
        <v>0</v>
      </c>
      <c r="S58" s="165"/>
      <c r="T58" s="165"/>
    </row>
    <row r="59" spans="2:20" s="166" customFormat="1" ht="12" customHeight="1" x14ac:dyDescent="0.4">
      <c r="B59" s="167" t="s">
        <v>142</v>
      </c>
      <c r="C59" s="168">
        <v>96953</v>
      </c>
      <c r="D59" s="168">
        <v>1219260</v>
      </c>
      <c r="E59" s="168">
        <v>3171245</v>
      </c>
      <c r="F59" s="168">
        <v>20293</v>
      </c>
      <c r="G59" s="168">
        <v>554824</v>
      </c>
      <c r="H59" s="168">
        <v>498569</v>
      </c>
      <c r="I59" s="168">
        <v>502792</v>
      </c>
      <c r="J59" s="168">
        <v>827162</v>
      </c>
      <c r="K59" s="168">
        <v>372865</v>
      </c>
      <c r="L59" s="168">
        <v>1103115</v>
      </c>
      <c r="M59" s="168">
        <v>47974</v>
      </c>
      <c r="N59" s="168">
        <v>880512</v>
      </c>
      <c r="O59" s="169" t="s">
        <v>26</v>
      </c>
      <c r="P59" s="169" t="s">
        <v>26</v>
      </c>
      <c r="Q59" s="170">
        <v>9295564</v>
      </c>
      <c r="R59" s="165">
        <f t="shared" si="1"/>
        <v>0</v>
      </c>
      <c r="S59" s="165"/>
      <c r="T59" s="165"/>
    </row>
    <row r="60" spans="2:20" s="159" customFormat="1" x14ac:dyDescent="0.15">
      <c r="B60" s="157" t="s">
        <v>143</v>
      </c>
      <c r="C60" s="45">
        <v>102904</v>
      </c>
      <c r="D60" s="45">
        <v>3716960</v>
      </c>
      <c r="E60" s="45">
        <v>3552666</v>
      </c>
      <c r="F60" s="45">
        <v>20265</v>
      </c>
      <c r="G60" s="45">
        <v>586728</v>
      </c>
      <c r="H60" s="45">
        <v>699169</v>
      </c>
      <c r="I60" s="45">
        <v>661616</v>
      </c>
      <c r="J60" s="45">
        <v>938594</v>
      </c>
      <c r="K60" s="45">
        <v>383990</v>
      </c>
      <c r="L60" s="45">
        <v>1142229</v>
      </c>
      <c r="M60" s="45">
        <v>43998</v>
      </c>
      <c r="N60" s="45">
        <v>867096</v>
      </c>
      <c r="O60" s="163" t="s">
        <v>26</v>
      </c>
      <c r="P60" s="163" t="s">
        <v>26</v>
      </c>
      <c r="Q60" s="48">
        <v>12716215</v>
      </c>
      <c r="R60" s="158">
        <f t="shared" si="1"/>
        <v>0</v>
      </c>
      <c r="S60" s="158"/>
      <c r="T60" s="158"/>
    </row>
    <row r="61" spans="2:20" s="159" customFormat="1" x14ac:dyDescent="0.15">
      <c r="B61" s="171" t="s">
        <v>144</v>
      </c>
      <c r="C61" s="58">
        <v>103753</v>
      </c>
      <c r="D61" s="58">
        <v>1748361</v>
      </c>
      <c r="E61" s="58">
        <v>4982129</v>
      </c>
      <c r="F61" s="58">
        <v>20337</v>
      </c>
      <c r="G61" s="58">
        <v>772683</v>
      </c>
      <c r="H61" s="58">
        <v>457715</v>
      </c>
      <c r="I61" s="58">
        <v>634119</v>
      </c>
      <c r="J61" s="58">
        <v>714843</v>
      </c>
      <c r="K61" s="58">
        <v>388880</v>
      </c>
      <c r="L61" s="58">
        <v>949004</v>
      </c>
      <c r="M61" s="58">
        <v>77998</v>
      </c>
      <c r="N61" s="58">
        <v>917140</v>
      </c>
      <c r="O61" s="172" t="s">
        <v>26</v>
      </c>
      <c r="P61" s="172" t="s">
        <v>26</v>
      </c>
      <c r="Q61" s="63">
        <v>11766962</v>
      </c>
      <c r="R61" s="158">
        <f t="shared" ref="R61" si="2">SUM(C61:P61)-Q61</f>
        <v>0</v>
      </c>
      <c r="S61" s="158"/>
      <c r="T61" s="158"/>
    </row>
  </sheetData>
  <mergeCells count="16">
    <mergeCell ref="N2:N4"/>
    <mergeCell ref="O2:O4"/>
    <mergeCell ref="P2:P4"/>
    <mergeCell ref="Q2:Q4"/>
    <mergeCell ref="H2:H4"/>
    <mergeCell ref="I2:I4"/>
    <mergeCell ref="J2:J4"/>
    <mergeCell ref="K2:K4"/>
    <mergeCell ref="L2:L4"/>
    <mergeCell ref="M2:M4"/>
    <mergeCell ref="B2:B4"/>
    <mergeCell ref="C2:C4"/>
    <mergeCell ref="D2:D4"/>
    <mergeCell ref="E2:E4"/>
    <mergeCell ref="F2:F4"/>
    <mergeCell ref="G2:G4"/>
  </mergeCells>
  <phoneticPr fontId="3"/>
  <printOptions horizontalCentered="1"/>
  <pageMargins left="0.39370078740157483" right="0.39370078740157483" top="0.98425196850393704" bottom="0.78740157480314965" header="0.51181102362204722" footer="0.51181102362204722"/>
  <pageSetup paperSize="9" scale="90" fitToHeight="0" orientation="landscape" r:id="rId1"/>
  <headerFooter alignWithMargins="0">
    <oddFooter>&amp;P / &amp;N ページ</oddFooter>
  </headerFooter>
  <rowBreaks count="1" manualBreakCount="1">
    <brk id="46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63"/>
  <sheetViews>
    <sheetView view="pageBreakPreview" zoomScale="130" zoomScaleNormal="130" zoomScaleSheetLayoutView="130" workbookViewId="0">
      <pane xSplit="2" ySplit="4" topLeftCell="C26" activePane="bottomRight" state="frozen"/>
      <selection activeCell="M19" sqref="M19"/>
      <selection pane="topRight" activeCell="M19" sqref="M19"/>
      <selection pane="bottomLeft" activeCell="M19" sqref="M19"/>
      <selection pane="bottomRight" activeCell="B1" sqref="B1"/>
    </sheetView>
  </sheetViews>
  <sheetFormatPr defaultColWidth="9.375" defaultRowHeight="12" x14ac:dyDescent="0.15"/>
  <cols>
    <col min="1" max="1" width="1.75" style="2" customWidth="1"/>
    <col min="2" max="2" width="9.875" style="2" customWidth="1"/>
    <col min="3" max="20" width="8.5" style="2" customWidth="1"/>
    <col min="21" max="21" width="11.5" style="2" customWidth="1"/>
    <col min="22" max="22" width="12" style="2" customWidth="1"/>
    <col min="23" max="16384" width="9.375" style="2"/>
  </cols>
  <sheetData>
    <row r="1" spans="2:22" ht="20.45" customHeight="1" x14ac:dyDescent="0.15">
      <c r="B1" s="1" t="s">
        <v>162</v>
      </c>
    </row>
    <row r="2" spans="2:22" s="9" customFormat="1" x14ac:dyDescent="0.15"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</row>
    <row r="3" spans="2:22" s="9" customFormat="1" x14ac:dyDescent="0.15">
      <c r="B3" s="174" t="s">
        <v>94</v>
      </c>
      <c r="C3" s="175" t="s">
        <v>163</v>
      </c>
      <c r="D3" s="175" t="s">
        <v>164</v>
      </c>
      <c r="E3" s="175" t="s">
        <v>164</v>
      </c>
      <c r="F3" s="175" t="s">
        <v>165</v>
      </c>
      <c r="G3" s="175" t="s">
        <v>166</v>
      </c>
      <c r="H3" s="175" t="s">
        <v>167</v>
      </c>
      <c r="I3" s="175" t="s">
        <v>168</v>
      </c>
      <c r="J3" s="175" t="s">
        <v>169</v>
      </c>
      <c r="K3" s="175" t="s">
        <v>170</v>
      </c>
      <c r="L3" s="175" t="s">
        <v>171</v>
      </c>
      <c r="M3" s="175" t="s">
        <v>172</v>
      </c>
      <c r="N3" s="175" t="s">
        <v>173</v>
      </c>
      <c r="O3" s="175" t="s">
        <v>16</v>
      </c>
      <c r="P3" s="175" t="s">
        <v>174</v>
      </c>
      <c r="Q3" s="175" t="s">
        <v>175</v>
      </c>
      <c r="R3" s="175" t="s">
        <v>176</v>
      </c>
      <c r="S3" s="175" t="s">
        <v>177</v>
      </c>
      <c r="T3" s="174" t="s">
        <v>11</v>
      </c>
    </row>
    <row r="4" spans="2:22" s="9" customFormat="1" x14ac:dyDescent="0.15">
      <c r="B4" s="176"/>
      <c r="C4" s="176" t="s">
        <v>178</v>
      </c>
      <c r="D4" s="176" t="s">
        <v>179</v>
      </c>
      <c r="E4" s="176" t="s">
        <v>180</v>
      </c>
      <c r="F4" s="176" t="s">
        <v>181</v>
      </c>
      <c r="G4" s="176" t="s">
        <v>182</v>
      </c>
      <c r="H4" s="176"/>
      <c r="I4" s="176"/>
      <c r="J4" s="176"/>
      <c r="K4" s="176" t="s">
        <v>183</v>
      </c>
      <c r="L4" s="176" t="s">
        <v>184</v>
      </c>
      <c r="M4" s="176" t="s">
        <v>183</v>
      </c>
      <c r="N4" s="176" t="s">
        <v>183</v>
      </c>
      <c r="O4" s="176"/>
      <c r="P4" s="176"/>
      <c r="Q4" s="176" t="s">
        <v>185</v>
      </c>
      <c r="R4" s="176"/>
      <c r="S4" s="176" t="s">
        <v>186</v>
      </c>
      <c r="T4" s="176"/>
      <c r="U4" s="9" t="s">
        <v>110</v>
      </c>
    </row>
    <row r="5" spans="2:22" x14ac:dyDescent="0.15">
      <c r="B5" s="71" t="s">
        <v>25</v>
      </c>
      <c r="C5" s="72">
        <v>74500</v>
      </c>
      <c r="D5" s="72"/>
      <c r="E5" s="177"/>
      <c r="F5" s="72">
        <v>30181</v>
      </c>
      <c r="G5" s="72"/>
      <c r="H5" s="72">
        <v>8309</v>
      </c>
      <c r="I5" s="72">
        <v>29299</v>
      </c>
      <c r="J5" s="72"/>
      <c r="K5" s="72">
        <v>104693</v>
      </c>
      <c r="L5" s="72"/>
      <c r="M5" s="72">
        <v>3491</v>
      </c>
      <c r="N5" s="72">
        <v>9521</v>
      </c>
      <c r="O5" s="72">
        <v>12555</v>
      </c>
      <c r="P5" s="73" t="s">
        <v>26</v>
      </c>
      <c r="Q5" s="72">
        <v>10</v>
      </c>
      <c r="R5" s="72">
        <v>24060</v>
      </c>
      <c r="S5" s="73" t="s">
        <v>26</v>
      </c>
      <c r="T5" s="74">
        <v>297219</v>
      </c>
      <c r="U5" s="41">
        <f t="shared" ref="U5:U11" si="0">T5-SUM(C5:S5)+D5+L5</f>
        <v>600</v>
      </c>
    </row>
    <row r="6" spans="2:22" x14ac:dyDescent="0.15">
      <c r="B6" s="76" t="s">
        <v>28</v>
      </c>
      <c r="C6" s="77">
        <v>87509</v>
      </c>
      <c r="D6" s="77"/>
      <c r="E6" s="178"/>
      <c r="F6" s="77">
        <v>37558</v>
      </c>
      <c r="G6" s="77"/>
      <c r="H6" s="77">
        <v>5382</v>
      </c>
      <c r="I6" s="77">
        <v>46728</v>
      </c>
      <c r="J6" s="77"/>
      <c r="K6" s="77">
        <v>133191</v>
      </c>
      <c r="L6" s="77"/>
      <c r="M6" s="77">
        <v>11949</v>
      </c>
      <c r="N6" s="77">
        <v>7238</v>
      </c>
      <c r="O6" s="77">
        <v>19380</v>
      </c>
      <c r="P6" s="78" t="s">
        <v>26</v>
      </c>
      <c r="Q6" s="77">
        <v>75</v>
      </c>
      <c r="R6" s="77">
        <v>7178</v>
      </c>
      <c r="S6" s="78" t="s">
        <v>26</v>
      </c>
      <c r="T6" s="79">
        <v>356188</v>
      </c>
      <c r="U6" s="41">
        <f t="shared" si="0"/>
        <v>0</v>
      </c>
    </row>
    <row r="7" spans="2:22" x14ac:dyDescent="0.15">
      <c r="B7" s="76" t="s">
        <v>29</v>
      </c>
      <c r="C7" s="77">
        <v>102975</v>
      </c>
      <c r="D7" s="77"/>
      <c r="E7" s="178"/>
      <c r="F7" s="77">
        <v>45781</v>
      </c>
      <c r="G7" s="77"/>
      <c r="H7" s="77">
        <v>8936</v>
      </c>
      <c r="I7" s="77">
        <v>44692</v>
      </c>
      <c r="J7" s="77"/>
      <c r="K7" s="77">
        <v>135139</v>
      </c>
      <c r="L7" s="77"/>
      <c r="M7" s="77">
        <v>1</v>
      </c>
      <c r="N7" s="77">
        <v>10201</v>
      </c>
      <c r="O7" s="77">
        <v>24963</v>
      </c>
      <c r="P7" s="78" t="s">
        <v>26</v>
      </c>
      <c r="Q7" s="77">
        <v>5</v>
      </c>
      <c r="R7" s="77">
        <v>7343</v>
      </c>
      <c r="S7" s="78" t="s">
        <v>26</v>
      </c>
      <c r="T7" s="79">
        <v>389543</v>
      </c>
      <c r="U7" s="41">
        <f t="shared" si="0"/>
        <v>9507</v>
      </c>
    </row>
    <row r="8" spans="2:22" x14ac:dyDescent="0.15">
      <c r="B8" s="76" t="s">
        <v>30</v>
      </c>
      <c r="C8" s="77">
        <v>115910</v>
      </c>
      <c r="D8" s="77">
        <v>89863</v>
      </c>
      <c r="E8" s="178"/>
      <c r="F8" s="77">
        <v>49601</v>
      </c>
      <c r="G8" s="77"/>
      <c r="H8" s="77">
        <v>5212</v>
      </c>
      <c r="I8" s="77">
        <v>7025</v>
      </c>
      <c r="J8" s="77">
        <v>35631</v>
      </c>
      <c r="K8" s="77">
        <v>132000</v>
      </c>
      <c r="L8" s="77">
        <v>56356</v>
      </c>
      <c r="M8" s="77">
        <v>3</v>
      </c>
      <c r="N8" s="77">
        <v>13079</v>
      </c>
      <c r="O8" s="77">
        <v>33117</v>
      </c>
      <c r="P8" s="78" t="s">
        <v>26</v>
      </c>
      <c r="Q8" s="77">
        <v>322</v>
      </c>
      <c r="R8" s="77">
        <v>2425</v>
      </c>
      <c r="S8" s="78" t="s">
        <v>26</v>
      </c>
      <c r="T8" s="79">
        <v>402012</v>
      </c>
      <c r="U8" s="41">
        <f t="shared" si="0"/>
        <v>7687</v>
      </c>
    </row>
    <row r="9" spans="2:22" x14ac:dyDescent="0.15">
      <c r="B9" s="76" t="s">
        <v>31</v>
      </c>
      <c r="C9" s="77">
        <v>139100</v>
      </c>
      <c r="D9" s="77">
        <v>106876</v>
      </c>
      <c r="E9" s="178"/>
      <c r="F9" s="77">
        <v>59637</v>
      </c>
      <c r="G9" s="77"/>
      <c r="H9" s="77">
        <v>16505</v>
      </c>
      <c r="I9" s="77">
        <v>7991</v>
      </c>
      <c r="J9" s="77">
        <v>42559</v>
      </c>
      <c r="K9" s="77">
        <v>178181</v>
      </c>
      <c r="L9" s="77">
        <f>K9-92348</f>
        <v>85833</v>
      </c>
      <c r="M9" s="77">
        <v>5</v>
      </c>
      <c r="N9" s="77">
        <v>13779</v>
      </c>
      <c r="O9" s="77">
        <v>32777</v>
      </c>
      <c r="P9" s="78" t="s">
        <v>26</v>
      </c>
      <c r="Q9" s="77">
        <v>5973</v>
      </c>
      <c r="R9" s="77">
        <v>2411</v>
      </c>
      <c r="S9" s="78" t="s">
        <v>26</v>
      </c>
      <c r="T9" s="79">
        <v>500303</v>
      </c>
      <c r="U9" s="41">
        <f t="shared" si="0"/>
        <v>1385</v>
      </c>
    </row>
    <row r="10" spans="2:22" x14ac:dyDescent="0.15">
      <c r="B10" s="76" t="s">
        <v>32</v>
      </c>
      <c r="C10" s="77">
        <v>172262</v>
      </c>
      <c r="D10" s="77">
        <v>127800</v>
      </c>
      <c r="E10" s="178"/>
      <c r="F10" s="77">
        <v>67175</v>
      </c>
      <c r="G10" s="77"/>
      <c r="H10" s="77">
        <v>24346</v>
      </c>
      <c r="I10" s="77">
        <v>8744</v>
      </c>
      <c r="J10" s="77">
        <v>46920</v>
      </c>
      <c r="K10" s="77">
        <v>234944</v>
      </c>
      <c r="L10" s="77">
        <v>84239</v>
      </c>
      <c r="M10" s="77">
        <v>7</v>
      </c>
      <c r="N10" s="77">
        <v>11736</v>
      </c>
      <c r="O10" s="77">
        <v>36540</v>
      </c>
      <c r="P10" s="78" t="s">
        <v>26</v>
      </c>
      <c r="Q10" s="77">
        <v>1646</v>
      </c>
      <c r="R10" s="77">
        <v>8702</v>
      </c>
      <c r="S10" s="78" t="s">
        <v>26</v>
      </c>
      <c r="T10" s="79">
        <v>621002</v>
      </c>
      <c r="U10" s="41">
        <f t="shared" si="0"/>
        <v>7980</v>
      </c>
    </row>
    <row r="11" spans="2:22" x14ac:dyDescent="0.15">
      <c r="B11" s="76" t="s">
        <v>33</v>
      </c>
      <c r="C11" s="77">
        <v>206456</v>
      </c>
      <c r="D11" s="77">
        <v>153318</v>
      </c>
      <c r="E11" s="178"/>
      <c r="F11" s="77">
        <v>94301</v>
      </c>
      <c r="G11" s="77"/>
      <c r="H11" s="77">
        <v>17406</v>
      </c>
      <c r="I11" s="77">
        <v>18544</v>
      </c>
      <c r="J11" s="77">
        <v>94745</v>
      </c>
      <c r="K11" s="77">
        <v>464243</v>
      </c>
      <c r="L11" s="77">
        <f>K11-318617</f>
        <v>145626</v>
      </c>
      <c r="M11" s="77">
        <v>9</v>
      </c>
      <c r="N11" s="77">
        <v>8166</v>
      </c>
      <c r="O11" s="77">
        <v>42246</v>
      </c>
      <c r="P11" s="78" t="s">
        <v>26</v>
      </c>
      <c r="Q11" s="77">
        <v>4976</v>
      </c>
      <c r="R11" s="77">
        <v>10872</v>
      </c>
      <c r="S11" s="78" t="s">
        <v>26</v>
      </c>
      <c r="T11" s="79">
        <v>982055</v>
      </c>
      <c r="U11" s="41">
        <f t="shared" si="0"/>
        <v>20091</v>
      </c>
    </row>
    <row r="12" spans="2:22" x14ac:dyDescent="0.15">
      <c r="B12" s="76" t="s">
        <v>34</v>
      </c>
      <c r="C12" s="77">
        <v>259462</v>
      </c>
      <c r="D12" s="77">
        <v>195497</v>
      </c>
      <c r="E12" s="178"/>
      <c r="F12" s="77">
        <v>97692</v>
      </c>
      <c r="G12" s="77"/>
      <c r="H12" s="77">
        <v>19890</v>
      </c>
      <c r="I12" s="77">
        <v>33450</v>
      </c>
      <c r="J12" s="77">
        <v>83923</v>
      </c>
      <c r="K12" s="77">
        <v>716616</v>
      </c>
      <c r="L12" s="77">
        <v>211913</v>
      </c>
      <c r="M12" s="77">
        <v>11</v>
      </c>
      <c r="N12" s="78" t="s">
        <v>26</v>
      </c>
      <c r="O12" s="77">
        <v>62107</v>
      </c>
      <c r="P12" s="78" t="s">
        <v>26</v>
      </c>
      <c r="Q12" s="77">
        <v>1558</v>
      </c>
      <c r="R12" s="77">
        <v>6598</v>
      </c>
      <c r="S12" s="78" t="s">
        <v>26</v>
      </c>
      <c r="T12" s="79">
        <v>1316001</v>
      </c>
      <c r="U12" s="41">
        <f>T12-SUM(C12:S12)+D12+L12</f>
        <v>34694</v>
      </c>
      <c r="V12" s="41"/>
    </row>
    <row r="13" spans="2:22" x14ac:dyDescent="0.15">
      <c r="B13" s="76" t="s">
        <v>35</v>
      </c>
      <c r="C13" s="77">
        <v>321040</v>
      </c>
      <c r="D13" s="77">
        <v>238723</v>
      </c>
      <c r="E13" s="178"/>
      <c r="F13" s="77">
        <v>117049</v>
      </c>
      <c r="G13" s="77"/>
      <c r="H13" s="77">
        <v>18577</v>
      </c>
      <c r="I13" s="77">
        <v>66555</v>
      </c>
      <c r="J13" s="77">
        <v>137368</v>
      </c>
      <c r="K13" s="77">
        <v>436418</v>
      </c>
      <c r="L13" s="77">
        <v>197897</v>
      </c>
      <c r="M13" s="77">
        <v>13</v>
      </c>
      <c r="N13" s="78" t="s">
        <v>26</v>
      </c>
      <c r="O13" s="77">
        <v>90276</v>
      </c>
      <c r="P13" s="78" t="s">
        <v>26</v>
      </c>
      <c r="Q13" s="77">
        <v>4576</v>
      </c>
      <c r="R13" s="77">
        <v>50310</v>
      </c>
      <c r="S13" s="78" t="s">
        <v>26</v>
      </c>
      <c r="T13" s="79">
        <v>1280043</v>
      </c>
      <c r="U13" s="41">
        <f t="shared" ref="U13:U43" si="1">T13-SUM(C13:S13)+D13+L13</f>
        <v>37861</v>
      </c>
    </row>
    <row r="14" spans="2:22" x14ac:dyDescent="0.15">
      <c r="B14" s="76" t="s">
        <v>36</v>
      </c>
      <c r="C14" s="77">
        <v>483928</v>
      </c>
      <c r="D14" s="77">
        <v>365156</v>
      </c>
      <c r="E14" s="178"/>
      <c r="F14" s="77">
        <v>126276</v>
      </c>
      <c r="G14" s="77"/>
      <c r="H14" s="77">
        <v>11214</v>
      </c>
      <c r="I14" s="77">
        <v>93178</v>
      </c>
      <c r="J14" s="77">
        <v>157682</v>
      </c>
      <c r="K14" s="77">
        <v>845240</v>
      </c>
      <c r="L14" s="77">
        <v>414170</v>
      </c>
      <c r="M14" s="77">
        <v>15</v>
      </c>
      <c r="N14" s="78" t="s">
        <v>26</v>
      </c>
      <c r="O14" s="77">
        <v>118115</v>
      </c>
      <c r="P14" s="78" t="s">
        <v>26</v>
      </c>
      <c r="Q14" s="77">
        <v>1374</v>
      </c>
      <c r="R14" s="77">
        <v>9601</v>
      </c>
      <c r="S14" s="78" t="s">
        <v>26</v>
      </c>
      <c r="T14" s="79">
        <v>1873223</v>
      </c>
      <c r="U14" s="41">
        <f t="shared" si="1"/>
        <v>26600</v>
      </c>
    </row>
    <row r="15" spans="2:22" x14ac:dyDescent="0.15">
      <c r="B15" s="76" t="s">
        <v>37</v>
      </c>
      <c r="C15" s="77">
        <v>546208</v>
      </c>
      <c r="D15" s="77">
        <v>403645</v>
      </c>
      <c r="E15" s="178"/>
      <c r="F15" s="77">
        <v>133263</v>
      </c>
      <c r="G15" s="77"/>
      <c r="H15" s="77">
        <v>10213</v>
      </c>
      <c r="I15" s="77">
        <v>123394</v>
      </c>
      <c r="J15" s="77">
        <v>173890</v>
      </c>
      <c r="K15" s="77">
        <v>587902</v>
      </c>
      <c r="L15" s="77">
        <v>340730</v>
      </c>
      <c r="M15" s="77">
        <v>16</v>
      </c>
      <c r="N15" s="78" t="s">
        <v>26</v>
      </c>
      <c r="O15" s="77">
        <v>146398</v>
      </c>
      <c r="P15" s="78" t="s">
        <v>26</v>
      </c>
      <c r="Q15" s="77">
        <v>2177</v>
      </c>
      <c r="R15" s="77">
        <v>6690</v>
      </c>
      <c r="S15" s="78" t="s">
        <v>26</v>
      </c>
      <c r="T15" s="79">
        <v>1744713</v>
      </c>
      <c r="U15" s="41">
        <f t="shared" si="1"/>
        <v>14562</v>
      </c>
    </row>
    <row r="16" spans="2:22" x14ac:dyDescent="0.15">
      <c r="B16" s="76" t="s">
        <v>38</v>
      </c>
      <c r="C16" s="77">
        <v>595566</v>
      </c>
      <c r="D16" s="77">
        <v>445708</v>
      </c>
      <c r="E16" s="178"/>
      <c r="F16" s="77">
        <v>149098</v>
      </c>
      <c r="G16" s="77"/>
      <c r="H16" s="77">
        <v>9834</v>
      </c>
      <c r="I16" s="77">
        <v>142628</v>
      </c>
      <c r="J16" s="77">
        <v>225206</v>
      </c>
      <c r="K16" s="77">
        <v>782486</v>
      </c>
      <c r="L16" s="77">
        <v>540466</v>
      </c>
      <c r="M16" s="77">
        <v>17</v>
      </c>
      <c r="N16" s="78" t="s">
        <v>26</v>
      </c>
      <c r="O16" s="77">
        <v>175097</v>
      </c>
      <c r="P16" s="77">
        <v>20000</v>
      </c>
      <c r="Q16" s="77">
        <v>2744</v>
      </c>
      <c r="R16" s="77">
        <v>9390</v>
      </c>
      <c r="S16" s="78" t="s">
        <v>26</v>
      </c>
      <c r="T16" s="79">
        <v>2121506</v>
      </c>
      <c r="U16" s="41">
        <f t="shared" si="1"/>
        <v>9440</v>
      </c>
    </row>
    <row r="17" spans="2:21" x14ac:dyDescent="0.15">
      <c r="B17" s="76" t="s">
        <v>39</v>
      </c>
      <c r="C17" s="77">
        <v>670779</v>
      </c>
      <c r="D17" s="77">
        <v>494031</v>
      </c>
      <c r="E17" s="178"/>
      <c r="F17" s="77">
        <v>186928</v>
      </c>
      <c r="G17" s="77"/>
      <c r="H17" s="77">
        <v>7255</v>
      </c>
      <c r="I17" s="77">
        <v>158579</v>
      </c>
      <c r="J17" s="77">
        <v>261214</v>
      </c>
      <c r="K17" s="77">
        <v>1071804</v>
      </c>
      <c r="L17" s="77">
        <v>644180</v>
      </c>
      <c r="M17" s="77">
        <v>19</v>
      </c>
      <c r="N17" s="78" t="s">
        <v>26</v>
      </c>
      <c r="O17" s="77">
        <v>187012</v>
      </c>
      <c r="P17" s="77">
        <v>30000</v>
      </c>
      <c r="Q17" s="77">
        <v>1455</v>
      </c>
      <c r="R17" s="77">
        <v>8476</v>
      </c>
      <c r="S17" s="78" t="s">
        <v>26</v>
      </c>
      <c r="T17" s="79">
        <v>2586410</v>
      </c>
      <c r="U17" s="41">
        <f t="shared" si="1"/>
        <v>2889</v>
      </c>
    </row>
    <row r="18" spans="2:21" x14ac:dyDescent="0.15">
      <c r="B18" s="76" t="s">
        <v>40</v>
      </c>
      <c r="C18" s="77">
        <v>745520</v>
      </c>
      <c r="D18" s="77">
        <v>540997</v>
      </c>
      <c r="E18" s="178"/>
      <c r="F18" s="77">
        <v>188070</v>
      </c>
      <c r="G18" s="77"/>
      <c r="H18" s="77">
        <v>16538</v>
      </c>
      <c r="I18" s="77">
        <v>177861</v>
      </c>
      <c r="J18" s="77">
        <v>265100</v>
      </c>
      <c r="K18" s="77">
        <v>1703755</v>
      </c>
      <c r="L18" s="77">
        <v>757003</v>
      </c>
      <c r="M18" s="77">
        <v>21</v>
      </c>
      <c r="N18" s="78" t="s">
        <v>26</v>
      </c>
      <c r="O18" s="77">
        <v>228106</v>
      </c>
      <c r="P18" s="77">
        <v>330</v>
      </c>
      <c r="Q18" s="77">
        <v>2994</v>
      </c>
      <c r="R18" s="77">
        <v>2412</v>
      </c>
      <c r="S18" s="78" t="s">
        <v>26</v>
      </c>
      <c r="T18" s="79">
        <v>3341991</v>
      </c>
      <c r="U18" s="41">
        <f t="shared" si="1"/>
        <v>11284</v>
      </c>
    </row>
    <row r="19" spans="2:21" x14ac:dyDescent="0.15">
      <c r="B19" s="76" t="s">
        <v>41</v>
      </c>
      <c r="C19" s="77">
        <v>760643</v>
      </c>
      <c r="D19" s="77">
        <v>541901</v>
      </c>
      <c r="E19" s="178"/>
      <c r="F19" s="77">
        <v>194700</v>
      </c>
      <c r="G19" s="77"/>
      <c r="H19" s="77">
        <v>14464</v>
      </c>
      <c r="I19" s="77">
        <v>175010</v>
      </c>
      <c r="J19" s="77">
        <v>274263</v>
      </c>
      <c r="K19" s="77">
        <v>1334800</v>
      </c>
      <c r="L19" s="77">
        <v>656414</v>
      </c>
      <c r="M19" s="77">
        <v>7253</v>
      </c>
      <c r="N19" s="78" t="s">
        <v>26</v>
      </c>
      <c r="O19" s="77">
        <v>362372</v>
      </c>
      <c r="P19" s="78" t="s">
        <v>26</v>
      </c>
      <c r="Q19" s="77">
        <v>20725</v>
      </c>
      <c r="R19" s="77">
        <v>1759</v>
      </c>
      <c r="S19" s="77">
        <v>150527</v>
      </c>
      <c r="T19" s="79">
        <v>3296516</v>
      </c>
      <c r="U19" s="41">
        <f t="shared" si="1"/>
        <v>0</v>
      </c>
    </row>
    <row r="20" spans="2:21" x14ac:dyDescent="0.15">
      <c r="B20" s="76" t="s">
        <v>42</v>
      </c>
      <c r="C20" s="77">
        <v>797254</v>
      </c>
      <c r="D20" s="77">
        <v>569558</v>
      </c>
      <c r="E20" s="178"/>
      <c r="F20" s="77">
        <v>245674</v>
      </c>
      <c r="G20" s="77"/>
      <c r="H20" s="77">
        <v>34701</v>
      </c>
      <c r="I20" s="77">
        <v>178232</v>
      </c>
      <c r="J20" s="77">
        <v>375863</v>
      </c>
      <c r="K20" s="77">
        <v>684927</v>
      </c>
      <c r="L20" s="77">
        <v>361034</v>
      </c>
      <c r="M20" s="77">
        <v>65403</v>
      </c>
      <c r="N20" s="78" t="s">
        <v>26</v>
      </c>
      <c r="O20" s="77">
        <v>327331</v>
      </c>
      <c r="P20" s="77">
        <v>4778</v>
      </c>
      <c r="Q20" s="77">
        <v>25292</v>
      </c>
      <c r="R20" s="77">
        <v>4221</v>
      </c>
      <c r="S20" s="78">
        <v>119543</v>
      </c>
      <c r="T20" s="79">
        <v>2863219</v>
      </c>
      <c r="U20" s="41">
        <f t="shared" si="1"/>
        <v>0</v>
      </c>
    </row>
    <row r="21" spans="2:21" x14ac:dyDescent="0.15">
      <c r="B21" s="76" t="s">
        <v>43</v>
      </c>
      <c r="C21" s="77">
        <v>870762</v>
      </c>
      <c r="D21" s="77">
        <v>619722</v>
      </c>
      <c r="E21" s="178"/>
      <c r="F21" s="77">
        <v>296615</v>
      </c>
      <c r="G21" s="77"/>
      <c r="H21" s="77">
        <v>30987</v>
      </c>
      <c r="I21" s="77">
        <v>179653</v>
      </c>
      <c r="J21" s="77">
        <v>427510</v>
      </c>
      <c r="K21" s="77">
        <v>1160235</v>
      </c>
      <c r="L21" s="77">
        <v>618441</v>
      </c>
      <c r="M21" s="77">
        <v>33796</v>
      </c>
      <c r="N21" s="78" t="s">
        <v>26</v>
      </c>
      <c r="O21" s="77">
        <v>223312</v>
      </c>
      <c r="P21" s="77">
        <v>170072</v>
      </c>
      <c r="Q21" s="77">
        <v>30405</v>
      </c>
      <c r="R21" s="77">
        <v>88974</v>
      </c>
      <c r="S21" s="78" t="s">
        <v>26</v>
      </c>
      <c r="T21" s="79">
        <v>3512321</v>
      </c>
      <c r="U21" s="41">
        <f t="shared" si="1"/>
        <v>0</v>
      </c>
    </row>
    <row r="22" spans="2:21" x14ac:dyDescent="0.15">
      <c r="B22" s="76" t="s">
        <v>44</v>
      </c>
      <c r="C22" s="77">
        <v>915838</v>
      </c>
      <c r="D22" s="77">
        <v>633166</v>
      </c>
      <c r="E22" s="178"/>
      <c r="F22" s="77">
        <v>349738</v>
      </c>
      <c r="G22" s="77"/>
      <c r="H22" s="77">
        <v>53985</v>
      </c>
      <c r="I22" s="77">
        <v>178743</v>
      </c>
      <c r="J22" s="77">
        <v>470632</v>
      </c>
      <c r="K22" s="77">
        <v>1733082</v>
      </c>
      <c r="L22" s="77">
        <v>961392</v>
      </c>
      <c r="M22" s="77">
        <v>160870</v>
      </c>
      <c r="N22" s="78" t="s">
        <v>26</v>
      </c>
      <c r="O22" s="77">
        <v>248628</v>
      </c>
      <c r="P22" s="77">
        <v>220296</v>
      </c>
      <c r="Q22" s="77">
        <v>70309</v>
      </c>
      <c r="R22" s="77">
        <v>18204</v>
      </c>
      <c r="S22" s="78" t="s">
        <v>26</v>
      </c>
      <c r="T22" s="79">
        <v>4420325</v>
      </c>
      <c r="U22" s="41">
        <f t="shared" si="1"/>
        <v>0</v>
      </c>
    </row>
    <row r="23" spans="2:21" x14ac:dyDescent="0.15">
      <c r="B23" s="76" t="s">
        <v>45</v>
      </c>
      <c r="C23" s="77">
        <v>967292</v>
      </c>
      <c r="D23" s="77">
        <v>704628</v>
      </c>
      <c r="E23" s="178"/>
      <c r="F23" s="77">
        <v>395284</v>
      </c>
      <c r="G23" s="77"/>
      <c r="H23" s="77">
        <v>71898</v>
      </c>
      <c r="I23" s="77">
        <v>77152</v>
      </c>
      <c r="J23" s="77">
        <v>563739</v>
      </c>
      <c r="K23" s="77">
        <v>1250849</v>
      </c>
      <c r="L23" s="77">
        <v>874845</v>
      </c>
      <c r="M23" s="77">
        <v>252499</v>
      </c>
      <c r="N23" s="78" t="s">
        <v>26</v>
      </c>
      <c r="O23" s="77">
        <v>294713</v>
      </c>
      <c r="P23" s="77">
        <v>8107</v>
      </c>
      <c r="Q23" s="77">
        <v>70321</v>
      </c>
      <c r="R23" s="77">
        <v>90168</v>
      </c>
      <c r="S23" s="78" t="s">
        <v>26</v>
      </c>
      <c r="T23" s="79">
        <v>4042022</v>
      </c>
      <c r="U23" s="41">
        <f t="shared" si="1"/>
        <v>0</v>
      </c>
    </row>
    <row r="24" spans="2:21" x14ac:dyDescent="0.15">
      <c r="B24" s="76" t="s">
        <v>46</v>
      </c>
      <c r="C24" s="77">
        <v>1045310</v>
      </c>
      <c r="D24" s="77">
        <v>749073</v>
      </c>
      <c r="E24" s="178"/>
      <c r="F24" s="77">
        <v>319749</v>
      </c>
      <c r="G24" s="77"/>
      <c r="H24" s="77">
        <v>41757</v>
      </c>
      <c r="I24" s="77">
        <v>77038</v>
      </c>
      <c r="J24" s="77">
        <v>614811</v>
      </c>
      <c r="K24" s="77">
        <v>874852</v>
      </c>
      <c r="L24" s="77">
        <v>322845</v>
      </c>
      <c r="M24" s="77">
        <v>141081</v>
      </c>
      <c r="N24" s="78" t="s">
        <v>26</v>
      </c>
      <c r="O24" s="77">
        <v>302396</v>
      </c>
      <c r="P24" s="77">
        <v>123937</v>
      </c>
      <c r="Q24" s="77">
        <v>422</v>
      </c>
      <c r="R24" s="77">
        <v>125369</v>
      </c>
      <c r="S24" s="78" t="s">
        <v>26</v>
      </c>
      <c r="T24" s="79">
        <v>3666722</v>
      </c>
      <c r="U24" s="41">
        <f t="shared" si="1"/>
        <v>0</v>
      </c>
    </row>
    <row r="25" spans="2:21" x14ac:dyDescent="0.15">
      <c r="B25" s="76" t="s">
        <v>47</v>
      </c>
      <c r="C25" s="77">
        <v>1118722</v>
      </c>
      <c r="D25" s="77">
        <v>798896</v>
      </c>
      <c r="E25" s="178"/>
      <c r="F25" s="77">
        <v>320091</v>
      </c>
      <c r="G25" s="77"/>
      <c r="H25" s="77">
        <v>51610</v>
      </c>
      <c r="I25" s="77">
        <v>88830</v>
      </c>
      <c r="J25" s="77">
        <v>521917</v>
      </c>
      <c r="K25" s="77">
        <v>1169907</v>
      </c>
      <c r="L25" s="77">
        <v>339966</v>
      </c>
      <c r="M25" s="77">
        <v>156656</v>
      </c>
      <c r="N25" s="78" t="s">
        <v>26</v>
      </c>
      <c r="O25" s="77">
        <v>322120</v>
      </c>
      <c r="P25" s="77">
        <v>61288</v>
      </c>
      <c r="Q25" s="77">
        <v>676</v>
      </c>
      <c r="R25" s="77">
        <v>126102</v>
      </c>
      <c r="S25" s="78" t="s">
        <v>26</v>
      </c>
      <c r="T25" s="79">
        <v>3937919</v>
      </c>
      <c r="U25" s="41">
        <f t="shared" si="1"/>
        <v>0</v>
      </c>
    </row>
    <row r="26" spans="2:21" x14ac:dyDescent="0.15">
      <c r="B26" s="76" t="s">
        <v>48</v>
      </c>
      <c r="C26" s="77">
        <v>1194917</v>
      </c>
      <c r="D26" s="77">
        <v>858731</v>
      </c>
      <c r="E26" s="178"/>
      <c r="F26" s="77">
        <v>336636</v>
      </c>
      <c r="G26" s="77"/>
      <c r="H26" s="77">
        <v>51884</v>
      </c>
      <c r="I26" s="77">
        <v>86208</v>
      </c>
      <c r="J26" s="77">
        <v>515324</v>
      </c>
      <c r="K26" s="77">
        <v>1509404</v>
      </c>
      <c r="L26" s="77">
        <v>493824</v>
      </c>
      <c r="M26" s="77">
        <v>30255</v>
      </c>
      <c r="N26" s="78" t="s">
        <v>26</v>
      </c>
      <c r="O26" s="77">
        <v>340544</v>
      </c>
      <c r="P26" s="77">
        <v>99158</v>
      </c>
      <c r="Q26" s="77">
        <v>3236</v>
      </c>
      <c r="R26" s="77">
        <v>129692</v>
      </c>
      <c r="S26" s="78" t="s">
        <v>26</v>
      </c>
      <c r="T26" s="79">
        <v>4297258</v>
      </c>
      <c r="U26" s="41">
        <f t="shared" si="1"/>
        <v>0</v>
      </c>
    </row>
    <row r="27" spans="2:21" x14ac:dyDescent="0.15">
      <c r="B27" s="76" t="s">
        <v>49</v>
      </c>
      <c r="C27" s="77">
        <v>1212748</v>
      </c>
      <c r="D27" s="77">
        <v>855841</v>
      </c>
      <c r="E27" s="178"/>
      <c r="F27" s="77">
        <v>376960</v>
      </c>
      <c r="G27" s="77"/>
      <c r="H27" s="77">
        <v>55079</v>
      </c>
      <c r="I27" s="77">
        <v>100238</v>
      </c>
      <c r="J27" s="77">
        <v>545964</v>
      </c>
      <c r="K27" s="77">
        <v>1774039</v>
      </c>
      <c r="L27" s="77">
        <v>757123</v>
      </c>
      <c r="M27" s="77">
        <v>3734</v>
      </c>
      <c r="N27" s="78" t="s">
        <v>26</v>
      </c>
      <c r="O27" s="77">
        <v>342676</v>
      </c>
      <c r="P27" s="77">
        <v>122984</v>
      </c>
      <c r="Q27" s="77">
        <v>27971</v>
      </c>
      <c r="R27" s="77">
        <v>121584</v>
      </c>
      <c r="S27" s="78" t="s">
        <v>26</v>
      </c>
      <c r="T27" s="79">
        <v>4683977</v>
      </c>
      <c r="U27" s="41">
        <f t="shared" si="1"/>
        <v>0</v>
      </c>
    </row>
    <row r="28" spans="2:21" x14ac:dyDescent="0.15">
      <c r="B28" s="76" t="s">
        <v>50</v>
      </c>
      <c r="C28" s="77">
        <v>1257733</v>
      </c>
      <c r="D28" s="77">
        <v>898993</v>
      </c>
      <c r="E28" s="178"/>
      <c r="F28" s="77">
        <v>429978</v>
      </c>
      <c r="G28" s="77"/>
      <c r="H28" s="77">
        <v>57396</v>
      </c>
      <c r="I28" s="77">
        <v>100798</v>
      </c>
      <c r="J28" s="77">
        <v>574897</v>
      </c>
      <c r="K28" s="77">
        <v>1670789</v>
      </c>
      <c r="L28" s="77">
        <v>581803</v>
      </c>
      <c r="M28" s="77">
        <v>2621</v>
      </c>
      <c r="N28" s="78" t="s">
        <v>26</v>
      </c>
      <c r="O28" s="77">
        <v>442405</v>
      </c>
      <c r="P28" s="77">
        <v>210864</v>
      </c>
      <c r="Q28" s="77">
        <v>58473</v>
      </c>
      <c r="R28" s="77">
        <v>112788</v>
      </c>
      <c r="S28" s="78" t="s">
        <v>26</v>
      </c>
      <c r="T28" s="79">
        <v>4918742</v>
      </c>
      <c r="U28" s="41">
        <f t="shared" si="1"/>
        <v>0</v>
      </c>
    </row>
    <row r="29" spans="2:21" x14ac:dyDescent="0.15">
      <c r="B29" s="76" t="s">
        <v>51</v>
      </c>
      <c r="C29" s="77">
        <v>1346543</v>
      </c>
      <c r="D29" s="77">
        <v>924507</v>
      </c>
      <c r="E29" s="178"/>
      <c r="F29" s="77">
        <v>462400</v>
      </c>
      <c r="G29" s="77"/>
      <c r="H29" s="77">
        <v>63747</v>
      </c>
      <c r="I29" s="77">
        <v>99570</v>
      </c>
      <c r="J29" s="77">
        <v>650731</v>
      </c>
      <c r="K29" s="77">
        <v>2126579</v>
      </c>
      <c r="L29" s="77">
        <v>623527</v>
      </c>
      <c r="M29" s="77">
        <v>15296</v>
      </c>
      <c r="N29" s="78" t="s">
        <v>26</v>
      </c>
      <c r="O29" s="77">
        <v>379500</v>
      </c>
      <c r="P29" s="77">
        <v>307854</v>
      </c>
      <c r="Q29" s="77">
        <v>60781</v>
      </c>
      <c r="R29" s="77">
        <v>114687</v>
      </c>
      <c r="S29" s="78" t="s">
        <v>26</v>
      </c>
      <c r="T29" s="79">
        <v>5627688</v>
      </c>
      <c r="U29" s="41">
        <f t="shared" si="1"/>
        <v>0</v>
      </c>
    </row>
    <row r="30" spans="2:21" x14ac:dyDescent="0.15">
      <c r="B30" s="76" t="s">
        <v>53</v>
      </c>
      <c r="C30" s="77">
        <v>1418889</v>
      </c>
      <c r="D30" s="77">
        <v>988726</v>
      </c>
      <c r="E30" s="178"/>
      <c r="F30" s="77">
        <v>490815</v>
      </c>
      <c r="G30" s="77"/>
      <c r="H30" s="77">
        <v>64236</v>
      </c>
      <c r="I30" s="77">
        <v>106993</v>
      </c>
      <c r="J30" s="77">
        <v>870193</v>
      </c>
      <c r="K30" s="77">
        <v>2351132</v>
      </c>
      <c r="L30" s="77">
        <v>558527</v>
      </c>
      <c r="M30" s="78" t="s">
        <v>26</v>
      </c>
      <c r="N30" s="78" t="s">
        <v>26</v>
      </c>
      <c r="O30" s="77">
        <v>432722</v>
      </c>
      <c r="P30" s="77">
        <v>363116</v>
      </c>
      <c r="Q30" s="77">
        <v>357964</v>
      </c>
      <c r="R30" s="77">
        <v>182648</v>
      </c>
      <c r="S30" s="78" t="s">
        <v>26</v>
      </c>
      <c r="T30" s="79">
        <v>6638708</v>
      </c>
      <c r="U30" s="41">
        <f t="shared" si="1"/>
        <v>0</v>
      </c>
    </row>
    <row r="31" spans="2:21" x14ac:dyDescent="0.15">
      <c r="B31" s="76" t="s">
        <v>54</v>
      </c>
      <c r="C31" s="77">
        <v>1508024</v>
      </c>
      <c r="D31" s="77">
        <v>1057615</v>
      </c>
      <c r="E31" s="178"/>
      <c r="F31" s="77">
        <v>580250</v>
      </c>
      <c r="G31" s="77"/>
      <c r="H31" s="77">
        <v>59923</v>
      </c>
      <c r="I31" s="77">
        <v>111992</v>
      </c>
      <c r="J31" s="77">
        <v>870670</v>
      </c>
      <c r="K31" s="77">
        <v>1926105</v>
      </c>
      <c r="L31" s="77">
        <v>337081</v>
      </c>
      <c r="M31" s="77">
        <v>45209</v>
      </c>
      <c r="N31" s="78" t="s">
        <v>26</v>
      </c>
      <c r="O31" s="77">
        <v>488536</v>
      </c>
      <c r="P31" s="77">
        <v>558834</v>
      </c>
      <c r="Q31" s="77">
        <v>317320</v>
      </c>
      <c r="R31" s="77">
        <v>455931</v>
      </c>
      <c r="S31" s="78" t="s">
        <v>26</v>
      </c>
      <c r="T31" s="79">
        <v>6922794</v>
      </c>
      <c r="U31" s="41">
        <f t="shared" si="1"/>
        <v>0</v>
      </c>
    </row>
    <row r="32" spans="2:21" x14ac:dyDescent="0.15">
      <c r="B32" s="76" t="s">
        <v>55</v>
      </c>
      <c r="C32" s="77">
        <v>1592391</v>
      </c>
      <c r="D32" s="77">
        <v>1094644</v>
      </c>
      <c r="E32" s="178"/>
      <c r="F32" s="77">
        <v>681203</v>
      </c>
      <c r="G32" s="77"/>
      <c r="H32" s="77">
        <v>59524</v>
      </c>
      <c r="I32" s="77">
        <v>130767</v>
      </c>
      <c r="J32" s="77">
        <v>1293573</v>
      </c>
      <c r="K32" s="77">
        <v>1861813</v>
      </c>
      <c r="L32" s="77">
        <v>332214</v>
      </c>
      <c r="M32" s="77">
        <v>10375</v>
      </c>
      <c r="N32" s="78" t="s">
        <v>26</v>
      </c>
      <c r="O32" s="77">
        <v>546849</v>
      </c>
      <c r="P32" s="77">
        <v>477358</v>
      </c>
      <c r="Q32" s="77">
        <v>322157</v>
      </c>
      <c r="R32" s="77">
        <v>496731</v>
      </c>
      <c r="S32" s="78" t="s">
        <v>26</v>
      </c>
      <c r="T32" s="79">
        <v>7472741</v>
      </c>
      <c r="U32" s="41">
        <f t="shared" si="1"/>
        <v>0</v>
      </c>
    </row>
    <row r="33" spans="2:22" x14ac:dyDescent="0.15">
      <c r="B33" s="76" t="s">
        <v>56</v>
      </c>
      <c r="C33" s="77">
        <v>1640070</v>
      </c>
      <c r="D33" s="77">
        <v>1145392</v>
      </c>
      <c r="E33" s="178"/>
      <c r="F33" s="77">
        <v>684365</v>
      </c>
      <c r="G33" s="77"/>
      <c r="H33" s="77">
        <v>54924</v>
      </c>
      <c r="I33" s="77">
        <v>273382</v>
      </c>
      <c r="J33" s="77">
        <v>902631</v>
      </c>
      <c r="K33" s="77">
        <v>1343826</v>
      </c>
      <c r="L33" s="77">
        <v>260778</v>
      </c>
      <c r="M33" s="77">
        <v>1138</v>
      </c>
      <c r="N33" s="78" t="s">
        <v>26</v>
      </c>
      <c r="O33" s="77">
        <v>624697</v>
      </c>
      <c r="P33" s="77">
        <v>530496</v>
      </c>
      <c r="Q33" s="77">
        <v>208706</v>
      </c>
      <c r="R33" s="77">
        <v>406147</v>
      </c>
      <c r="S33" s="78" t="s">
        <v>26</v>
      </c>
      <c r="T33" s="79">
        <v>6670382</v>
      </c>
      <c r="U33" s="41">
        <f t="shared" si="1"/>
        <v>0</v>
      </c>
    </row>
    <row r="34" spans="2:22" x14ac:dyDescent="0.15">
      <c r="B34" s="76" t="s">
        <v>57</v>
      </c>
      <c r="C34" s="77">
        <v>1721064</v>
      </c>
      <c r="D34" s="77">
        <v>1215060</v>
      </c>
      <c r="E34" s="178"/>
      <c r="F34" s="77">
        <v>728971</v>
      </c>
      <c r="G34" s="77"/>
      <c r="H34" s="77">
        <v>53039</v>
      </c>
      <c r="I34" s="77">
        <v>245079</v>
      </c>
      <c r="J34" s="77">
        <v>984086</v>
      </c>
      <c r="K34" s="77">
        <v>1514280</v>
      </c>
      <c r="L34" s="77">
        <v>244646</v>
      </c>
      <c r="M34" s="77">
        <v>427</v>
      </c>
      <c r="N34" s="78" t="s">
        <v>27</v>
      </c>
      <c r="O34" s="77">
        <v>833494</v>
      </c>
      <c r="P34" s="77">
        <v>814795</v>
      </c>
      <c r="Q34" s="77">
        <v>173585</v>
      </c>
      <c r="R34" s="77">
        <v>406476</v>
      </c>
      <c r="S34" s="78" t="s">
        <v>26</v>
      </c>
      <c r="T34" s="79">
        <v>7475296</v>
      </c>
      <c r="U34" s="41">
        <f t="shared" si="1"/>
        <v>0</v>
      </c>
    </row>
    <row r="35" spans="2:22" x14ac:dyDescent="0.15">
      <c r="B35" s="76" t="s">
        <v>58</v>
      </c>
      <c r="C35" s="77">
        <v>1724557</v>
      </c>
      <c r="D35" s="77">
        <v>1208919</v>
      </c>
      <c r="E35" s="178"/>
      <c r="F35" s="77">
        <v>806724</v>
      </c>
      <c r="G35" s="77"/>
      <c r="H35" s="77">
        <v>71428</v>
      </c>
      <c r="I35" s="77">
        <v>327907</v>
      </c>
      <c r="J35" s="77">
        <v>971577</v>
      </c>
      <c r="K35" s="77">
        <v>2690989</v>
      </c>
      <c r="L35" s="77">
        <v>702757</v>
      </c>
      <c r="M35" s="77">
        <v>682</v>
      </c>
      <c r="N35" s="78" t="s">
        <v>27</v>
      </c>
      <c r="O35" s="77">
        <v>899519</v>
      </c>
      <c r="P35" s="77">
        <v>424331</v>
      </c>
      <c r="Q35" s="77">
        <v>189605</v>
      </c>
      <c r="R35" s="77">
        <v>624122</v>
      </c>
      <c r="S35" s="78" t="s">
        <v>26</v>
      </c>
      <c r="T35" s="79">
        <v>8731441</v>
      </c>
      <c r="U35" s="41">
        <f t="shared" si="1"/>
        <v>0</v>
      </c>
    </row>
    <row r="36" spans="2:22" x14ac:dyDescent="0.15">
      <c r="B36" s="76" t="s">
        <v>59</v>
      </c>
      <c r="C36" s="77">
        <v>1785141</v>
      </c>
      <c r="D36" s="77">
        <v>1258063</v>
      </c>
      <c r="E36" s="178"/>
      <c r="F36" s="77">
        <v>847442</v>
      </c>
      <c r="G36" s="77"/>
      <c r="H36" s="77">
        <v>60900</v>
      </c>
      <c r="I36" s="77">
        <v>378706</v>
      </c>
      <c r="J36" s="77">
        <v>1020648</v>
      </c>
      <c r="K36" s="77">
        <v>2768001</v>
      </c>
      <c r="L36" s="77">
        <v>404026</v>
      </c>
      <c r="M36" s="78" t="s">
        <v>26</v>
      </c>
      <c r="N36" s="78" t="s">
        <v>26</v>
      </c>
      <c r="O36" s="77">
        <v>981370</v>
      </c>
      <c r="P36" s="77">
        <v>674444</v>
      </c>
      <c r="Q36" s="77">
        <v>109578</v>
      </c>
      <c r="R36" s="77">
        <v>634343</v>
      </c>
      <c r="S36" s="78" t="s">
        <v>26</v>
      </c>
      <c r="T36" s="79">
        <v>9260573</v>
      </c>
      <c r="U36" s="41">
        <f t="shared" si="1"/>
        <v>0</v>
      </c>
      <c r="V36" s="179"/>
    </row>
    <row r="37" spans="2:22" x14ac:dyDescent="0.15">
      <c r="B37" s="76" t="s">
        <v>60</v>
      </c>
      <c r="C37" s="77">
        <v>1894766</v>
      </c>
      <c r="D37" s="77">
        <v>1354231</v>
      </c>
      <c r="E37" s="178"/>
      <c r="F37" s="77">
        <v>887538</v>
      </c>
      <c r="G37" s="77"/>
      <c r="H37" s="77">
        <v>62352</v>
      </c>
      <c r="I37" s="77">
        <v>425921</v>
      </c>
      <c r="J37" s="77">
        <v>1195212</v>
      </c>
      <c r="K37" s="77">
        <v>1972993</v>
      </c>
      <c r="L37" s="77">
        <v>490484</v>
      </c>
      <c r="M37" s="77">
        <v>722</v>
      </c>
      <c r="N37" s="78" t="s">
        <v>26</v>
      </c>
      <c r="O37" s="77">
        <v>1134448</v>
      </c>
      <c r="P37" s="82">
        <v>328456</v>
      </c>
      <c r="Q37" s="77">
        <v>95181</v>
      </c>
      <c r="R37" s="82">
        <f>387969</f>
        <v>387969</v>
      </c>
      <c r="S37" s="78" t="s">
        <v>26</v>
      </c>
      <c r="T37" s="79">
        <v>8385558</v>
      </c>
      <c r="U37" s="41">
        <f t="shared" si="1"/>
        <v>0</v>
      </c>
      <c r="V37" s="179">
        <v>1973715</v>
      </c>
    </row>
    <row r="38" spans="2:22" x14ac:dyDescent="0.15">
      <c r="B38" s="76" t="s">
        <v>62</v>
      </c>
      <c r="C38" s="77">
        <v>1963160</v>
      </c>
      <c r="D38" s="77">
        <v>1414210</v>
      </c>
      <c r="E38" s="178"/>
      <c r="F38" s="77">
        <v>977565</v>
      </c>
      <c r="G38" s="77"/>
      <c r="H38" s="77">
        <v>57827</v>
      </c>
      <c r="I38" s="82">
        <v>457366</v>
      </c>
      <c r="J38" s="82">
        <v>1172735</v>
      </c>
      <c r="K38" s="77">
        <v>1955426</v>
      </c>
      <c r="L38" s="77">
        <v>942043</v>
      </c>
      <c r="M38" s="77">
        <v>3377</v>
      </c>
      <c r="N38" s="78" t="s">
        <v>26</v>
      </c>
      <c r="O38" s="83">
        <v>1182707</v>
      </c>
      <c r="P38" s="82">
        <v>665313</v>
      </c>
      <c r="Q38" s="77">
        <v>234984</v>
      </c>
      <c r="R38" s="83">
        <v>565549</v>
      </c>
      <c r="S38" s="78" t="s">
        <v>26</v>
      </c>
      <c r="T38" s="79">
        <v>9236009</v>
      </c>
      <c r="U38" s="41">
        <f t="shared" si="1"/>
        <v>0</v>
      </c>
      <c r="V38" s="179">
        <v>1958803</v>
      </c>
    </row>
    <row r="39" spans="2:22" x14ac:dyDescent="0.15">
      <c r="B39" s="76" t="s">
        <v>63</v>
      </c>
      <c r="C39" s="77">
        <v>1970010</v>
      </c>
      <c r="D39" s="77">
        <v>1419134</v>
      </c>
      <c r="E39" s="178"/>
      <c r="F39" s="77">
        <v>1004374</v>
      </c>
      <c r="G39" s="77"/>
      <c r="H39" s="77">
        <v>34989</v>
      </c>
      <c r="I39" s="77">
        <v>500263</v>
      </c>
      <c r="J39" s="77">
        <v>1294739</v>
      </c>
      <c r="K39" s="77">
        <v>2200476</v>
      </c>
      <c r="L39" s="77">
        <v>283246</v>
      </c>
      <c r="M39" s="77">
        <v>313346</v>
      </c>
      <c r="N39" s="78" t="s">
        <v>26</v>
      </c>
      <c r="O39" s="77">
        <v>984105</v>
      </c>
      <c r="P39" s="77">
        <v>558372</v>
      </c>
      <c r="Q39" s="77">
        <v>243187</v>
      </c>
      <c r="R39" s="77">
        <v>662656</v>
      </c>
      <c r="S39" s="78" t="s">
        <v>26</v>
      </c>
      <c r="T39" s="79">
        <v>9766517</v>
      </c>
      <c r="U39" s="41">
        <f t="shared" si="1"/>
        <v>0</v>
      </c>
      <c r="V39" s="179">
        <v>2513822</v>
      </c>
    </row>
    <row r="40" spans="2:22" x14ac:dyDescent="0.15">
      <c r="B40" s="76" t="s">
        <v>64</v>
      </c>
      <c r="C40" s="77">
        <v>1965208</v>
      </c>
      <c r="D40" s="77">
        <v>1384568</v>
      </c>
      <c r="E40" s="178"/>
      <c r="F40" s="77">
        <v>940022</v>
      </c>
      <c r="G40" s="77"/>
      <c r="H40" s="77">
        <v>78260</v>
      </c>
      <c r="I40" s="77">
        <v>376086</v>
      </c>
      <c r="J40" s="77">
        <v>1250610</v>
      </c>
      <c r="K40" s="77">
        <v>1458635</v>
      </c>
      <c r="L40" s="77">
        <v>342965</v>
      </c>
      <c r="M40" s="77">
        <v>190604</v>
      </c>
      <c r="N40" s="78" t="s">
        <v>26</v>
      </c>
      <c r="O40" s="77">
        <v>1108677</v>
      </c>
      <c r="P40" s="77">
        <v>1051823</v>
      </c>
      <c r="Q40" s="77">
        <v>213175</v>
      </c>
      <c r="R40" s="77">
        <v>763501</v>
      </c>
      <c r="S40" s="78" t="s">
        <v>26</v>
      </c>
      <c r="T40" s="79">
        <v>9396601</v>
      </c>
      <c r="U40" s="41">
        <f t="shared" si="1"/>
        <v>0</v>
      </c>
      <c r="V40" s="179">
        <v>1649239</v>
      </c>
    </row>
    <row r="41" spans="2:22" x14ac:dyDescent="0.15">
      <c r="B41" s="76" t="s">
        <v>65</v>
      </c>
      <c r="C41" s="77">
        <v>1962142</v>
      </c>
      <c r="D41" s="77">
        <v>1393880</v>
      </c>
      <c r="E41" s="178"/>
      <c r="F41" s="77">
        <v>975030</v>
      </c>
      <c r="G41" s="77"/>
      <c r="H41" s="77">
        <v>46351</v>
      </c>
      <c r="I41" s="77">
        <v>425026</v>
      </c>
      <c r="J41" s="77">
        <v>1272149</v>
      </c>
      <c r="K41" s="77">
        <v>2010033</v>
      </c>
      <c r="L41" s="77">
        <v>526255</v>
      </c>
      <c r="M41" s="77">
        <v>256168</v>
      </c>
      <c r="N41" s="78" t="s">
        <v>26</v>
      </c>
      <c r="O41" s="77">
        <v>1092383</v>
      </c>
      <c r="P41" s="77">
        <v>685907</v>
      </c>
      <c r="Q41" s="77">
        <v>253142</v>
      </c>
      <c r="R41" s="77">
        <v>728726</v>
      </c>
      <c r="S41" s="78" t="s">
        <v>26</v>
      </c>
      <c r="T41" s="79">
        <v>9707057</v>
      </c>
      <c r="U41" s="41">
        <f t="shared" si="1"/>
        <v>0</v>
      </c>
      <c r="V41" s="179">
        <v>2266201</v>
      </c>
    </row>
    <row r="42" spans="2:22" x14ac:dyDescent="0.15">
      <c r="B42" s="76" t="s">
        <v>66</v>
      </c>
      <c r="C42" s="77">
        <v>1980586</v>
      </c>
      <c r="D42" s="77">
        <v>1390986</v>
      </c>
      <c r="E42" s="178"/>
      <c r="F42" s="77">
        <v>875508</v>
      </c>
      <c r="G42" s="77"/>
      <c r="H42" s="77">
        <v>45623</v>
      </c>
      <c r="I42" s="77">
        <v>417510</v>
      </c>
      <c r="J42" s="77">
        <v>1643630</v>
      </c>
      <c r="K42" s="77">
        <v>1270303</v>
      </c>
      <c r="L42" s="77">
        <v>94191</v>
      </c>
      <c r="M42" s="77">
        <v>193012</v>
      </c>
      <c r="N42" s="78" t="s">
        <v>26</v>
      </c>
      <c r="O42" s="77">
        <v>1127339</v>
      </c>
      <c r="P42" s="77">
        <v>77411</v>
      </c>
      <c r="Q42" s="77">
        <v>346142</v>
      </c>
      <c r="R42" s="77">
        <v>745972</v>
      </c>
      <c r="S42" s="78" t="s">
        <v>26</v>
      </c>
      <c r="T42" s="79">
        <v>8723036</v>
      </c>
      <c r="U42" s="41">
        <f t="shared" si="1"/>
        <v>0</v>
      </c>
      <c r="V42" s="179">
        <v>1463315</v>
      </c>
    </row>
    <row r="43" spans="2:22" x14ac:dyDescent="0.15">
      <c r="B43" s="76" t="s">
        <v>67</v>
      </c>
      <c r="C43" s="83">
        <v>1951882</v>
      </c>
      <c r="D43" s="77">
        <v>1374948</v>
      </c>
      <c r="E43" s="178"/>
      <c r="F43" s="83">
        <v>916509</v>
      </c>
      <c r="G43" s="77"/>
      <c r="H43" s="83">
        <v>45883</v>
      </c>
      <c r="I43" s="83">
        <v>502028</v>
      </c>
      <c r="J43" s="83">
        <v>1332506</v>
      </c>
      <c r="K43" s="83">
        <v>1080344</v>
      </c>
      <c r="L43" s="83">
        <v>330199</v>
      </c>
      <c r="M43" s="83">
        <v>7318</v>
      </c>
      <c r="N43" s="78" t="s">
        <v>27</v>
      </c>
      <c r="O43" s="83">
        <v>1109663</v>
      </c>
      <c r="P43" s="83">
        <v>701595</v>
      </c>
      <c r="Q43" s="83">
        <v>523383</v>
      </c>
      <c r="R43" s="83">
        <v>785504</v>
      </c>
      <c r="S43" s="78" t="s">
        <v>27</v>
      </c>
      <c r="T43" s="180">
        <v>8956615</v>
      </c>
      <c r="U43" s="41">
        <f t="shared" si="1"/>
        <v>0</v>
      </c>
      <c r="V43" s="179">
        <v>1087662</v>
      </c>
    </row>
    <row r="44" spans="2:22" ht="18.75" x14ac:dyDescent="0.4">
      <c r="B44" s="181" t="s">
        <v>68</v>
      </c>
      <c r="C44" s="84">
        <v>1937504</v>
      </c>
      <c r="D44" s="84">
        <v>1352390</v>
      </c>
      <c r="E44" s="178"/>
      <c r="F44" s="84">
        <v>818508</v>
      </c>
      <c r="G44" s="84"/>
      <c r="H44" s="84">
        <v>49110</v>
      </c>
      <c r="I44" s="84">
        <v>559087</v>
      </c>
      <c r="J44" s="84">
        <v>1358189</v>
      </c>
      <c r="K44" s="84">
        <v>1226071</v>
      </c>
      <c r="L44" s="84">
        <v>135002</v>
      </c>
      <c r="M44" s="84">
        <v>22942</v>
      </c>
      <c r="N44" s="78" t="s">
        <v>27</v>
      </c>
      <c r="O44" s="84">
        <v>1045263</v>
      </c>
      <c r="P44" s="84">
        <v>613015</v>
      </c>
      <c r="Q44" s="84">
        <v>523837</v>
      </c>
      <c r="R44" s="84">
        <v>888116</v>
      </c>
      <c r="S44" s="78" t="s">
        <v>27</v>
      </c>
      <c r="T44" s="182">
        <v>9041642</v>
      </c>
      <c r="U44" s="41">
        <f>T44-SUM(C44:S44)+D44+L44</f>
        <v>0</v>
      </c>
      <c r="V44" s="179">
        <v>1249013</v>
      </c>
    </row>
    <row r="45" spans="2:22" ht="18.75" x14ac:dyDescent="0.4">
      <c r="B45" s="76" t="s">
        <v>69</v>
      </c>
      <c r="C45" s="84">
        <v>1896079</v>
      </c>
      <c r="D45" s="84">
        <v>1309070</v>
      </c>
      <c r="E45" s="178"/>
      <c r="F45" s="84">
        <v>796291</v>
      </c>
      <c r="G45" s="84"/>
      <c r="H45" s="84">
        <v>43505</v>
      </c>
      <c r="I45" s="84">
        <v>553555</v>
      </c>
      <c r="J45" s="84">
        <v>1276934</v>
      </c>
      <c r="K45" s="84">
        <v>821052</v>
      </c>
      <c r="L45" s="126">
        <v>299392</v>
      </c>
      <c r="M45" s="84">
        <v>39566</v>
      </c>
      <c r="N45" s="78" t="s">
        <v>27</v>
      </c>
      <c r="O45" s="84">
        <v>1370569</v>
      </c>
      <c r="P45" s="84">
        <v>220977</v>
      </c>
      <c r="Q45" s="84">
        <v>355827</v>
      </c>
      <c r="R45" s="84">
        <v>894121</v>
      </c>
      <c r="S45" s="78" t="s">
        <v>27</v>
      </c>
      <c r="T45" s="182">
        <v>8268476</v>
      </c>
      <c r="U45" s="41">
        <f>T45-SUM(C45:S45)+D45+L45</f>
        <v>0</v>
      </c>
      <c r="V45" s="179">
        <v>860618</v>
      </c>
    </row>
    <row r="46" spans="2:22" s="183" customFormat="1" ht="18.75" x14ac:dyDescent="0.4">
      <c r="B46" s="181" t="s">
        <v>70</v>
      </c>
      <c r="C46" s="84">
        <v>1843301</v>
      </c>
      <c r="D46" s="84">
        <v>1270723</v>
      </c>
      <c r="E46" s="178"/>
      <c r="F46" s="84">
        <v>778659</v>
      </c>
      <c r="G46" s="84"/>
      <c r="H46" s="84">
        <v>47534</v>
      </c>
      <c r="I46" s="84">
        <v>592174</v>
      </c>
      <c r="J46" s="84">
        <v>1181395</v>
      </c>
      <c r="K46" s="84">
        <v>1009154</v>
      </c>
      <c r="L46" s="84">
        <v>386926</v>
      </c>
      <c r="M46" s="84">
        <v>162634</v>
      </c>
      <c r="N46" s="78" t="s">
        <v>27</v>
      </c>
      <c r="O46" s="84">
        <v>953071</v>
      </c>
      <c r="P46" s="84">
        <v>503673</v>
      </c>
      <c r="Q46" s="84">
        <v>401862</v>
      </c>
      <c r="R46" s="84">
        <v>951078</v>
      </c>
      <c r="S46" s="78" t="s">
        <v>27</v>
      </c>
      <c r="T46" s="182">
        <v>8424535</v>
      </c>
      <c r="U46" s="41">
        <f>T46-SUM(C46:S46)+D46+L46</f>
        <v>0</v>
      </c>
      <c r="V46" s="179">
        <v>1171788</v>
      </c>
    </row>
    <row r="47" spans="2:22" s="183" customFormat="1" ht="18.75" x14ac:dyDescent="0.4">
      <c r="B47" s="181" t="s">
        <v>71</v>
      </c>
      <c r="C47" s="84">
        <v>1790314</v>
      </c>
      <c r="D47" s="84">
        <v>1265073</v>
      </c>
      <c r="E47" s="178"/>
      <c r="F47" s="84">
        <v>857111</v>
      </c>
      <c r="G47" s="84">
        <v>362550</v>
      </c>
      <c r="H47" s="84">
        <v>48461</v>
      </c>
      <c r="I47" s="84">
        <v>669548</v>
      </c>
      <c r="J47" s="84">
        <v>1232673</v>
      </c>
      <c r="K47" s="84">
        <v>1945605</v>
      </c>
      <c r="L47" s="126">
        <v>1217380</v>
      </c>
      <c r="M47" s="84">
        <v>115240</v>
      </c>
      <c r="N47" s="78" t="s">
        <v>27</v>
      </c>
      <c r="O47" s="84">
        <v>959602</v>
      </c>
      <c r="P47" s="84">
        <v>97207</v>
      </c>
      <c r="Q47" s="84">
        <v>367539</v>
      </c>
      <c r="R47" s="84">
        <v>931852</v>
      </c>
      <c r="S47" s="78" t="s">
        <v>27</v>
      </c>
      <c r="T47" s="182">
        <v>9015152</v>
      </c>
      <c r="U47" s="41">
        <f>T47-SUM(C47:S47)+D47+L47+G47</f>
        <v>0</v>
      </c>
      <c r="V47" s="179">
        <v>2060845</v>
      </c>
    </row>
    <row r="48" spans="2:22" s="183" customFormat="1" ht="18.75" x14ac:dyDescent="0.4">
      <c r="B48" s="181" t="s">
        <v>131</v>
      </c>
      <c r="C48" s="84">
        <v>1746420</v>
      </c>
      <c r="D48" s="84">
        <v>1244742</v>
      </c>
      <c r="E48" s="178"/>
      <c r="F48" s="84">
        <v>893446</v>
      </c>
      <c r="G48" s="84">
        <v>352012</v>
      </c>
      <c r="H48" s="84">
        <v>50584</v>
      </c>
      <c r="I48" s="84">
        <v>732428</v>
      </c>
      <c r="J48" s="84">
        <v>1470317</v>
      </c>
      <c r="K48" s="84">
        <v>1135612</v>
      </c>
      <c r="L48" s="126">
        <v>589342</v>
      </c>
      <c r="M48" s="84">
        <v>11405</v>
      </c>
      <c r="N48" s="78" t="s">
        <v>27</v>
      </c>
      <c r="O48" s="84">
        <v>953921</v>
      </c>
      <c r="P48" s="84">
        <v>15293</v>
      </c>
      <c r="Q48" s="84">
        <f>314672+2900</f>
        <v>317572</v>
      </c>
      <c r="R48" s="84">
        <v>1019411</v>
      </c>
      <c r="S48" s="78" t="s">
        <v>27</v>
      </c>
      <c r="T48" s="182">
        <v>8346409</v>
      </c>
      <c r="U48" s="41">
        <f t="shared" ref="U48:U49" si="2">T48-SUM(C48:S48)+D48+L48+G48</f>
        <v>0</v>
      </c>
      <c r="V48" s="179">
        <v>1147017</v>
      </c>
    </row>
    <row r="49" spans="2:24" s="183" customFormat="1" ht="18.75" x14ac:dyDescent="0.4">
      <c r="B49" s="181" t="s">
        <v>132</v>
      </c>
      <c r="C49" s="84">
        <v>1695116</v>
      </c>
      <c r="D49" s="84">
        <v>1187283</v>
      </c>
      <c r="E49" s="178"/>
      <c r="F49" s="84">
        <v>1025000</v>
      </c>
      <c r="G49" s="84">
        <v>385809</v>
      </c>
      <c r="H49" s="84">
        <v>40582</v>
      </c>
      <c r="I49" s="84">
        <v>752613</v>
      </c>
      <c r="J49" s="84">
        <v>1591037</v>
      </c>
      <c r="K49" s="84">
        <v>912806</v>
      </c>
      <c r="L49" s="126">
        <v>321419</v>
      </c>
      <c r="M49" s="84">
        <v>4889</v>
      </c>
      <c r="N49" s="78" t="s">
        <v>27</v>
      </c>
      <c r="O49" s="84">
        <v>927899</v>
      </c>
      <c r="P49" s="84">
        <v>104146</v>
      </c>
      <c r="Q49" s="84">
        <v>314844</v>
      </c>
      <c r="R49" s="84">
        <v>1032118</v>
      </c>
      <c r="S49" s="78" t="s">
        <v>27</v>
      </c>
      <c r="T49" s="182">
        <v>8401050</v>
      </c>
      <c r="U49" s="41">
        <f t="shared" si="2"/>
        <v>0</v>
      </c>
      <c r="V49" s="179">
        <v>917695</v>
      </c>
    </row>
    <row r="50" spans="2:24" s="183" customFormat="1" ht="18.75" x14ac:dyDescent="0.4">
      <c r="B50" s="181" t="s">
        <v>161</v>
      </c>
      <c r="C50" s="84">
        <v>1612876</v>
      </c>
      <c r="D50" s="84">
        <v>1057770</v>
      </c>
      <c r="E50" s="184"/>
      <c r="F50" s="84">
        <v>1066435</v>
      </c>
      <c r="G50" s="84">
        <v>414138</v>
      </c>
      <c r="H50" s="84">
        <v>46975</v>
      </c>
      <c r="I50" s="84">
        <v>1108262</v>
      </c>
      <c r="J50" s="84">
        <v>1272529</v>
      </c>
      <c r="K50" s="84">
        <v>1722990</v>
      </c>
      <c r="L50" s="126">
        <v>1278673</v>
      </c>
      <c r="M50" s="84">
        <v>1433</v>
      </c>
      <c r="N50" s="78" t="s">
        <v>26</v>
      </c>
      <c r="O50" s="84">
        <v>959582</v>
      </c>
      <c r="P50" s="84">
        <v>382645</v>
      </c>
      <c r="Q50" s="84">
        <v>314413</v>
      </c>
      <c r="R50" s="84">
        <v>1132240</v>
      </c>
      <c r="S50" s="78" t="s">
        <v>26</v>
      </c>
      <c r="T50" s="182">
        <v>9620380</v>
      </c>
      <c r="U50" s="41">
        <f>T50-SUM(C50:S50)+D50+L50+G50</f>
        <v>0</v>
      </c>
      <c r="V50" s="179">
        <v>1724423</v>
      </c>
    </row>
    <row r="51" spans="2:24" s="183" customFormat="1" ht="18.75" x14ac:dyDescent="0.4">
      <c r="B51" s="181" t="s">
        <v>134</v>
      </c>
      <c r="C51" s="84">
        <v>1607455</v>
      </c>
      <c r="D51" s="84">
        <v>1026328</v>
      </c>
      <c r="E51" s="84">
        <v>37009</v>
      </c>
      <c r="F51" s="84">
        <v>1163161</v>
      </c>
      <c r="G51" s="84">
        <v>468173</v>
      </c>
      <c r="H51" s="84">
        <v>42376</v>
      </c>
      <c r="I51" s="84">
        <v>1155733</v>
      </c>
      <c r="J51" s="84">
        <v>1234505</v>
      </c>
      <c r="K51" s="84">
        <v>848490</v>
      </c>
      <c r="L51" s="126">
        <v>504609</v>
      </c>
      <c r="M51" s="84">
        <v>13004</v>
      </c>
      <c r="N51" s="78" t="s">
        <v>27</v>
      </c>
      <c r="O51" s="84">
        <v>1061166</v>
      </c>
      <c r="P51" s="84">
        <v>176788</v>
      </c>
      <c r="Q51" s="84">
        <v>314386</v>
      </c>
      <c r="R51" s="84">
        <v>1204561</v>
      </c>
      <c r="S51" s="78" t="s">
        <v>27</v>
      </c>
      <c r="T51" s="182">
        <v>8821625</v>
      </c>
      <c r="U51" s="41">
        <f>T51-SUM(C51:S51)+D51+L51+G51+E51</f>
        <v>0</v>
      </c>
      <c r="V51" s="179">
        <v>861494</v>
      </c>
    </row>
    <row r="52" spans="2:24" s="183" customFormat="1" ht="18.75" x14ac:dyDescent="0.4">
      <c r="B52" s="181" t="s">
        <v>78</v>
      </c>
      <c r="C52" s="84">
        <v>1485781</v>
      </c>
      <c r="D52" s="84">
        <v>960703</v>
      </c>
      <c r="E52" s="84">
        <v>34887</v>
      </c>
      <c r="F52" s="84">
        <v>1197968</v>
      </c>
      <c r="G52" s="84">
        <v>482890</v>
      </c>
      <c r="H52" s="84">
        <v>62887</v>
      </c>
      <c r="I52" s="84">
        <v>1178265</v>
      </c>
      <c r="J52" s="84">
        <v>1189161</v>
      </c>
      <c r="K52" s="84">
        <v>1178652</v>
      </c>
      <c r="L52" s="126">
        <v>606819</v>
      </c>
      <c r="M52" s="84">
        <v>17563</v>
      </c>
      <c r="N52" s="78" t="s">
        <v>26</v>
      </c>
      <c r="O52" s="84">
        <v>843561</v>
      </c>
      <c r="P52" s="84">
        <v>10263</v>
      </c>
      <c r="Q52" s="84">
        <v>279101</v>
      </c>
      <c r="R52" s="84">
        <v>1291257</v>
      </c>
      <c r="S52" s="78" t="s">
        <v>26</v>
      </c>
      <c r="T52" s="182">
        <v>8734459</v>
      </c>
      <c r="U52" s="41">
        <f t="shared" ref="U52:U56" si="3">T52-SUM(C52:S52)+D52+L52+G52+E52</f>
        <v>0</v>
      </c>
      <c r="V52" s="179">
        <v>1196215</v>
      </c>
    </row>
    <row r="53" spans="2:24" s="191" customFormat="1" ht="12" customHeight="1" x14ac:dyDescent="0.4">
      <c r="B53" s="185" t="s">
        <v>136</v>
      </c>
      <c r="C53" s="91">
        <v>1435102</v>
      </c>
      <c r="D53" s="91">
        <v>930029</v>
      </c>
      <c r="E53" s="91">
        <v>35432</v>
      </c>
      <c r="F53" s="91">
        <v>1180514</v>
      </c>
      <c r="G53" s="91">
        <v>475095</v>
      </c>
      <c r="H53" s="91">
        <v>67905</v>
      </c>
      <c r="I53" s="91">
        <v>1227151</v>
      </c>
      <c r="J53" s="91">
        <v>1918176</v>
      </c>
      <c r="K53" s="91">
        <v>942055</v>
      </c>
      <c r="L53" s="186">
        <v>251379</v>
      </c>
      <c r="M53" s="91">
        <v>14465</v>
      </c>
      <c r="N53" s="187" t="s">
        <v>27</v>
      </c>
      <c r="O53" s="91">
        <v>817145</v>
      </c>
      <c r="P53" s="91">
        <v>9698</v>
      </c>
      <c r="Q53" s="91">
        <v>279506</v>
      </c>
      <c r="R53" s="91">
        <v>649468</v>
      </c>
      <c r="S53" s="187" t="s">
        <v>27</v>
      </c>
      <c r="T53" s="188">
        <v>8541185</v>
      </c>
      <c r="U53" s="189">
        <f t="shared" si="3"/>
        <v>0</v>
      </c>
      <c r="V53" s="190">
        <v>956520</v>
      </c>
    </row>
    <row r="54" spans="2:24" s="88" customFormat="1" ht="12" customHeight="1" x14ac:dyDescent="0.4">
      <c r="B54" s="185" t="s">
        <v>137</v>
      </c>
      <c r="C54" s="91">
        <v>1996707</v>
      </c>
      <c r="D54" s="91">
        <v>967771</v>
      </c>
      <c r="E54" s="91">
        <v>482902</v>
      </c>
      <c r="F54" s="91">
        <v>959457</v>
      </c>
      <c r="G54" s="91">
        <v>523188</v>
      </c>
      <c r="H54" s="91">
        <v>61791</v>
      </c>
      <c r="I54" s="91">
        <v>1155180</v>
      </c>
      <c r="J54" s="91">
        <v>1964091</v>
      </c>
      <c r="K54" s="91">
        <v>1610582</v>
      </c>
      <c r="L54" s="186">
        <v>575039</v>
      </c>
      <c r="M54" s="91">
        <v>17375</v>
      </c>
      <c r="N54" s="187" t="s">
        <v>27</v>
      </c>
      <c r="O54" s="91">
        <v>822991</v>
      </c>
      <c r="P54" s="91">
        <v>215480</v>
      </c>
      <c r="Q54" s="91">
        <v>279524</v>
      </c>
      <c r="R54" s="91">
        <v>668124</v>
      </c>
      <c r="S54" s="187" t="s">
        <v>27</v>
      </c>
      <c r="T54" s="188">
        <v>9751302</v>
      </c>
      <c r="U54" s="189">
        <f t="shared" si="3"/>
        <v>0</v>
      </c>
      <c r="V54" s="190">
        <v>1627957</v>
      </c>
    </row>
    <row r="55" spans="2:24" s="88" customFormat="1" ht="12" customHeight="1" x14ac:dyDescent="0.4">
      <c r="B55" s="185" t="s">
        <v>138</v>
      </c>
      <c r="C55" s="91">
        <v>2052705</v>
      </c>
      <c r="D55" s="91">
        <v>966288</v>
      </c>
      <c r="E55" s="91">
        <v>507209</v>
      </c>
      <c r="F55" s="91">
        <v>1039694</v>
      </c>
      <c r="G55" s="91">
        <v>600274</v>
      </c>
      <c r="H55" s="91">
        <v>61069</v>
      </c>
      <c r="I55" s="91">
        <v>1087932</v>
      </c>
      <c r="J55" s="91">
        <v>1883631</v>
      </c>
      <c r="K55" s="91">
        <v>798007</v>
      </c>
      <c r="L55" s="186">
        <v>403786</v>
      </c>
      <c r="M55" s="91">
        <v>1402</v>
      </c>
      <c r="N55" s="187" t="s">
        <v>27</v>
      </c>
      <c r="O55" s="91">
        <v>865660</v>
      </c>
      <c r="P55" s="91">
        <v>45653</v>
      </c>
      <c r="Q55" s="91">
        <v>279786</v>
      </c>
      <c r="R55" s="91">
        <v>709257</v>
      </c>
      <c r="S55" s="187" t="s">
        <v>27</v>
      </c>
      <c r="T55" s="188">
        <v>8824796</v>
      </c>
      <c r="U55" s="189">
        <f t="shared" si="3"/>
        <v>0</v>
      </c>
      <c r="V55" s="190">
        <v>799409</v>
      </c>
    </row>
    <row r="56" spans="2:24" s="88" customFormat="1" ht="12" customHeight="1" x14ac:dyDescent="0.4">
      <c r="B56" s="185" t="s">
        <v>139</v>
      </c>
      <c r="C56" s="91">
        <v>2031025</v>
      </c>
      <c r="D56" s="91">
        <v>956215</v>
      </c>
      <c r="E56" s="91">
        <v>513494</v>
      </c>
      <c r="F56" s="91">
        <v>1127005</v>
      </c>
      <c r="G56" s="91">
        <v>693280</v>
      </c>
      <c r="H56" s="91">
        <v>72696</v>
      </c>
      <c r="I56" s="91">
        <v>1167826</v>
      </c>
      <c r="J56" s="91">
        <v>1954431</v>
      </c>
      <c r="K56" s="91">
        <v>693569</v>
      </c>
      <c r="L56" s="186">
        <v>225299</v>
      </c>
      <c r="M56" s="91">
        <v>1089</v>
      </c>
      <c r="N56" s="187" t="s">
        <v>27</v>
      </c>
      <c r="O56" s="91">
        <v>912845</v>
      </c>
      <c r="P56" s="91">
        <v>90558</v>
      </c>
      <c r="Q56" s="91">
        <v>279464</v>
      </c>
      <c r="R56" s="91">
        <v>668574</v>
      </c>
      <c r="S56" s="187" t="s">
        <v>27</v>
      </c>
      <c r="T56" s="188">
        <v>8999082</v>
      </c>
      <c r="U56" s="189">
        <f t="shared" si="3"/>
        <v>0</v>
      </c>
      <c r="V56" s="190">
        <v>694658</v>
      </c>
    </row>
    <row r="57" spans="2:24" s="88" customFormat="1" ht="12" customHeight="1" x14ac:dyDescent="0.4">
      <c r="B57" s="185" t="s">
        <v>140</v>
      </c>
      <c r="C57" s="91">
        <v>2061134</v>
      </c>
      <c r="D57" s="91">
        <v>967812</v>
      </c>
      <c r="E57" s="91">
        <v>530796</v>
      </c>
      <c r="F57" s="91">
        <v>1062331</v>
      </c>
      <c r="G57" s="91">
        <v>605806</v>
      </c>
      <c r="H57" s="91">
        <v>78094</v>
      </c>
      <c r="I57" s="91">
        <v>1160445</v>
      </c>
      <c r="J57" s="91">
        <v>1785593</v>
      </c>
      <c r="K57" s="91">
        <v>1535706</v>
      </c>
      <c r="L57" s="186">
        <v>367059</v>
      </c>
      <c r="M57" s="91">
        <v>29050</v>
      </c>
      <c r="N57" s="187" t="s">
        <v>27</v>
      </c>
      <c r="O57" s="91">
        <v>934769</v>
      </c>
      <c r="P57" s="91">
        <v>62223</v>
      </c>
      <c r="Q57" s="91">
        <f>279543+19000</f>
        <v>298543</v>
      </c>
      <c r="R57" s="91">
        <v>701617</v>
      </c>
      <c r="S57" s="187" t="s">
        <v>27</v>
      </c>
      <c r="T57" s="188">
        <v>9709505</v>
      </c>
      <c r="U57" s="189">
        <f>T57-SUM(C57:S57)+D57+L57+G57+E57</f>
        <v>0</v>
      </c>
      <c r="V57" s="190">
        <v>1564756</v>
      </c>
    </row>
    <row r="58" spans="2:24" s="88" customFormat="1" ht="12" customHeight="1" x14ac:dyDescent="0.4">
      <c r="B58" s="181" t="s">
        <v>141</v>
      </c>
      <c r="C58" s="91">
        <v>2123354</v>
      </c>
      <c r="D58" s="91">
        <v>991931</v>
      </c>
      <c r="E58" s="91">
        <v>552846</v>
      </c>
      <c r="F58" s="91">
        <v>1076506</v>
      </c>
      <c r="G58" s="91">
        <v>636293</v>
      </c>
      <c r="H58" s="91">
        <v>84890</v>
      </c>
      <c r="I58" s="91">
        <v>1141289</v>
      </c>
      <c r="J58" s="91">
        <v>1723887</v>
      </c>
      <c r="K58" s="91">
        <v>803526</v>
      </c>
      <c r="L58" s="186">
        <v>138208</v>
      </c>
      <c r="M58" s="91">
        <v>73152</v>
      </c>
      <c r="N58" s="187" t="s">
        <v>27</v>
      </c>
      <c r="O58" s="91">
        <v>915833</v>
      </c>
      <c r="P58" s="91">
        <v>77650</v>
      </c>
      <c r="Q58" s="91">
        <v>288987</v>
      </c>
      <c r="R58" s="91">
        <v>719833</v>
      </c>
      <c r="S58" s="187" t="s">
        <v>27</v>
      </c>
      <c r="T58" s="188">
        <v>9028907</v>
      </c>
      <c r="U58" s="189">
        <f t="shared" ref="U58:U61" si="4">T58-SUM(C58:S58)+D58+L58+G58+E58</f>
        <v>0</v>
      </c>
      <c r="V58" s="190"/>
    </row>
    <row r="59" spans="2:24" s="88" customFormat="1" ht="12" customHeight="1" x14ac:dyDescent="0.4">
      <c r="B59" s="192" t="s">
        <v>142</v>
      </c>
      <c r="C59" s="193">
        <v>2152749</v>
      </c>
      <c r="D59" s="193">
        <v>1008887</v>
      </c>
      <c r="E59" s="193">
        <v>559895</v>
      </c>
      <c r="F59" s="193">
        <v>1123224</v>
      </c>
      <c r="G59" s="193">
        <v>688239</v>
      </c>
      <c r="H59" s="193">
        <v>72987</v>
      </c>
      <c r="I59" s="193">
        <v>1193668</v>
      </c>
      <c r="J59" s="193">
        <v>1651033</v>
      </c>
      <c r="K59" s="193">
        <v>1107259</v>
      </c>
      <c r="L59" s="194">
        <v>535940</v>
      </c>
      <c r="M59" s="193">
        <v>47974</v>
      </c>
      <c r="N59" s="195" t="s">
        <v>26</v>
      </c>
      <c r="O59" s="193">
        <v>880512</v>
      </c>
      <c r="P59" s="193">
        <v>53646</v>
      </c>
      <c r="Q59" s="193">
        <v>282676</v>
      </c>
      <c r="R59" s="193">
        <v>729836</v>
      </c>
      <c r="S59" s="195" t="s">
        <v>26</v>
      </c>
      <c r="T59" s="196">
        <v>9295564</v>
      </c>
      <c r="U59" s="189">
        <f t="shared" si="4"/>
        <v>0</v>
      </c>
      <c r="V59" s="190"/>
    </row>
    <row r="60" spans="2:24" ht="18.75" x14ac:dyDescent="0.4">
      <c r="B60" s="181" t="s">
        <v>143</v>
      </c>
      <c r="C60" s="91">
        <v>2172871</v>
      </c>
      <c r="D60" s="91">
        <v>920501</v>
      </c>
      <c r="E60" s="91">
        <v>577881</v>
      </c>
      <c r="F60" s="91">
        <v>1375251</v>
      </c>
      <c r="G60" s="91">
        <v>928085</v>
      </c>
      <c r="H60" s="91">
        <v>70236</v>
      </c>
      <c r="I60" s="91">
        <v>1277976</v>
      </c>
      <c r="J60" s="91">
        <v>4292556</v>
      </c>
      <c r="K60" s="91">
        <v>1503237</v>
      </c>
      <c r="L60" s="186">
        <v>658002</v>
      </c>
      <c r="M60" s="91">
        <v>43998</v>
      </c>
      <c r="N60" s="187" t="s">
        <v>27</v>
      </c>
      <c r="O60" s="91">
        <v>867096</v>
      </c>
      <c r="P60" s="91">
        <v>82500</v>
      </c>
      <c r="Q60" s="91">
        <v>279619</v>
      </c>
      <c r="R60" s="91">
        <v>750875</v>
      </c>
      <c r="S60" s="187" t="s">
        <v>27</v>
      </c>
      <c r="T60" s="188">
        <v>12716215</v>
      </c>
      <c r="U60" s="189">
        <f t="shared" si="4"/>
        <v>0</v>
      </c>
      <c r="V60" s="179"/>
      <c r="W60" s="179">
        <f>W47+W49</f>
        <v>0</v>
      </c>
      <c r="X60" s="179">
        <f>X47+X49</f>
        <v>0</v>
      </c>
    </row>
    <row r="61" spans="2:24" ht="18.75" x14ac:dyDescent="0.4">
      <c r="B61" s="197" t="s">
        <v>144</v>
      </c>
      <c r="C61" s="198">
        <v>2228380</v>
      </c>
      <c r="D61" s="198">
        <v>935294</v>
      </c>
      <c r="E61" s="198">
        <v>626823</v>
      </c>
      <c r="F61" s="198">
        <v>1610024</v>
      </c>
      <c r="G61" s="198">
        <v>1143448</v>
      </c>
      <c r="H61" s="198">
        <v>64308</v>
      </c>
      <c r="I61" s="198">
        <v>1806777</v>
      </c>
      <c r="J61" s="198">
        <v>1690321</v>
      </c>
      <c r="K61" s="198">
        <v>1880379</v>
      </c>
      <c r="L61" s="199">
        <v>286846</v>
      </c>
      <c r="M61" s="198">
        <v>77998</v>
      </c>
      <c r="N61" s="200" t="s">
        <v>27</v>
      </c>
      <c r="O61" s="198">
        <v>917140</v>
      </c>
      <c r="P61" s="198">
        <v>424940</v>
      </c>
      <c r="Q61" s="198">
        <v>279396</v>
      </c>
      <c r="R61" s="198">
        <v>787299</v>
      </c>
      <c r="S61" s="200" t="s">
        <v>27</v>
      </c>
      <c r="T61" s="201">
        <v>11766962</v>
      </c>
      <c r="U61" s="189">
        <f t="shared" si="4"/>
        <v>0</v>
      </c>
      <c r="V61" s="179"/>
      <c r="W61" s="179">
        <f>W48+W50</f>
        <v>0</v>
      </c>
      <c r="X61" s="179">
        <f>X48+X50</f>
        <v>0</v>
      </c>
    </row>
    <row r="63" spans="2:24" ht="18.75" x14ac:dyDescent="0.15">
      <c r="C63" s="202"/>
      <c r="F63" s="202"/>
      <c r="I63" s="202"/>
      <c r="J63" s="202"/>
      <c r="T63" s="202"/>
    </row>
  </sheetData>
  <mergeCells count="1">
    <mergeCell ref="E5:E50"/>
  </mergeCells>
  <phoneticPr fontId="3"/>
  <printOptions horizontalCentered="1"/>
  <pageMargins left="0.39370078740157483" right="0.39370078740157483" top="0.98425196850393704" bottom="0.78740157480314965" header="0.51181102362204722" footer="0.51181102362204722"/>
  <pageSetup paperSize="9" scale="78" fitToHeight="0" orientation="landscape" r:id="rId1"/>
  <headerFooter alignWithMargins="0">
    <oddFooter>&amp;P / &amp;N ページ</oddFooter>
  </headerFooter>
  <rowBreaks count="1" manualBreakCount="1">
    <brk id="46" min="1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1"/>
  <sheetViews>
    <sheetView view="pageBreakPreview" zoomScale="115" zoomScaleNormal="100" zoomScaleSheetLayoutView="115" workbookViewId="0">
      <pane xSplit="2" ySplit="4" topLeftCell="C35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.375" defaultRowHeight="12" x14ac:dyDescent="0.15"/>
  <cols>
    <col min="1" max="1" width="2.375" style="2" customWidth="1"/>
    <col min="2" max="2" width="9.75" style="2" customWidth="1"/>
    <col min="3" max="19" width="8.5" style="2" customWidth="1"/>
    <col min="20" max="16384" width="9.375" style="2"/>
  </cols>
  <sheetData>
    <row r="1" spans="2:20" ht="20.45" customHeight="1" x14ac:dyDescent="0.15">
      <c r="B1" s="1" t="s">
        <v>187</v>
      </c>
    </row>
    <row r="2" spans="2:20" x14ac:dyDescent="0.15">
      <c r="B2" s="203"/>
      <c r="C2" s="203" t="s">
        <v>188</v>
      </c>
      <c r="D2" s="203"/>
      <c r="E2" s="203"/>
      <c r="F2" s="203"/>
      <c r="G2" s="203"/>
      <c r="H2" s="203"/>
      <c r="I2" s="203"/>
      <c r="J2" s="203"/>
      <c r="K2" s="203"/>
      <c r="L2" s="203"/>
      <c r="M2" s="204" t="s">
        <v>188</v>
      </c>
      <c r="N2" s="205" t="s">
        <v>189</v>
      </c>
      <c r="O2" s="205"/>
      <c r="P2" s="205"/>
      <c r="Q2" s="205"/>
      <c r="R2" s="203"/>
    </row>
    <row r="3" spans="2:20" x14ac:dyDescent="0.15">
      <c r="B3" s="206" t="s">
        <v>94</v>
      </c>
      <c r="C3" s="206" t="s">
        <v>190</v>
      </c>
      <c r="D3" s="206" t="s">
        <v>163</v>
      </c>
      <c r="E3" s="206" t="s">
        <v>165</v>
      </c>
      <c r="F3" s="174" t="s">
        <v>191</v>
      </c>
      <c r="G3" s="206" t="s">
        <v>168</v>
      </c>
      <c r="H3" s="206" t="s">
        <v>169</v>
      </c>
      <c r="I3" s="206" t="s">
        <v>176</v>
      </c>
      <c r="J3" s="206" t="s">
        <v>185</v>
      </c>
      <c r="K3" s="206" t="s">
        <v>16</v>
      </c>
      <c r="L3" s="206" t="s">
        <v>128</v>
      </c>
      <c r="M3" s="206" t="s">
        <v>192</v>
      </c>
      <c r="N3" s="207" t="s">
        <v>193</v>
      </c>
      <c r="O3" s="208"/>
      <c r="P3" s="208"/>
      <c r="Q3" s="209"/>
      <c r="R3" s="206" t="s">
        <v>194</v>
      </c>
      <c r="S3" s="2" t="s">
        <v>17</v>
      </c>
    </row>
    <row r="4" spans="2:20" x14ac:dyDescent="0.15">
      <c r="B4" s="210"/>
      <c r="C4" s="210" t="s">
        <v>195</v>
      </c>
      <c r="D4" s="210"/>
      <c r="E4" s="210"/>
      <c r="F4" s="210"/>
      <c r="G4" s="210"/>
      <c r="H4" s="210"/>
      <c r="I4" s="210"/>
      <c r="J4" s="210"/>
      <c r="K4" s="210"/>
      <c r="L4" s="210"/>
      <c r="M4" s="211" t="s">
        <v>196</v>
      </c>
      <c r="N4" s="212" t="s">
        <v>197</v>
      </c>
      <c r="O4" s="212" t="s">
        <v>198</v>
      </c>
      <c r="P4" s="212" t="s">
        <v>199</v>
      </c>
      <c r="Q4" s="212" t="s">
        <v>128</v>
      </c>
      <c r="R4" s="210"/>
    </row>
    <row r="5" spans="2:20" x14ac:dyDescent="0.15">
      <c r="B5" s="71" t="s">
        <v>25</v>
      </c>
      <c r="C5" s="72">
        <v>172788</v>
      </c>
      <c r="D5" s="72">
        <v>58230</v>
      </c>
      <c r="E5" s="72">
        <v>22635</v>
      </c>
      <c r="F5" s="72">
        <v>7084</v>
      </c>
      <c r="G5" s="72">
        <v>4665</v>
      </c>
      <c r="H5" s="72">
        <v>15180</v>
      </c>
      <c r="I5" s="213" t="s">
        <v>26</v>
      </c>
      <c r="J5" s="214" t="s">
        <v>27</v>
      </c>
      <c r="K5" s="72">
        <v>8985</v>
      </c>
      <c r="L5" s="72">
        <v>116779</v>
      </c>
      <c r="M5" s="215">
        <f t="shared" ref="M5:M40" si="0">L5/C5*100</f>
        <v>67.585133226844448</v>
      </c>
      <c r="N5" s="120">
        <v>27.399999999999899</v>
      </c>
      <c r="O5" s="120">
        <v>0.8</v>
      </c>
      <c r="P5" s="120">
        <v>3</v>
      </c>
      <c r="Q5" s="120">
        <v>31.1999999999999</v>
      </c>
      <c r="R5" s="74">
        <f t="shared" ref="R5:R56" si="1">C5-L5</f>
        <v>56009</v>
      </c>
      <c r="S5" s="75">
        <f>SUM(D5:K5)-L5</f>
        <v>0</v>
      </c>
      <c r="T5" s="9"/>
    </row>
    <row r="6" spans="2:20" x14ac:dyDescent="0.15">
      <c r="B6" s="76" t="s">
        <v>28</v>
      </c>
      <c r="C6" s="77">
        <v>185277</v>
      </c>
      <c r="D6" s="77">
        <v>70035</v>
      </c>
      <c r="E6" s="77">
        <v>29274</v>
      </c>
      <c r="F6" s="77">
        <v>2779</v>
      </c>
      <c r="G6" s="77">
        <v>2778</v>
      </c>
      <c r="H6" s="77">
        <v>28299</v>
      </c>
      <c r="I6" s="216" t="s">
        <v>26</v>
      </c>
      <c r="J6" s="217" t="s">
        <v>27</v>
      </c>
      <c r="K6" s="77">
        <v>14081</v>
      </c>
      <c r="L6" s="77">
        <v>147246</v>
      </c>
      <c r="M6" s="218">
        <f t="shared" si="0"/>
        <v>79.47343706990074</v>
      </c>
      <c r="N6" s="123">
        <v>26.1</v>
      </c>
      <c r="O6" s="123">
        <v>1.7</v>
      </c>
      <c r="P6" s="123">
        <v>2.9</v>
      </c>
      <c r="Q6" s="123">
        <v>30.6999999999999</v>
      </c>
      <c r="R6" s="79">
        <f t="shared" si="1"/>
        <v>38031</v>
      </c>
      <c r="S6" s="75">
        <f t="shared" ref="S6:S43" si="2">SUM(D6:K6)-L6</f>
        <v>0</v>
      </c>
      <c r="T6" s="9"/>
    </row>
    <row r="7" spans="2:20" x14ac:dyDescent="0.15">
      <c r="B7" s="76" t="s">
        <v>29</v>
      </c>
      <c r="C7" s="77">
        <v>217864</v>
      </c>
      <c r="D7" s="77">
        <v>81263</v>
      </c>
      <c r="E7" s="77">
        <v>35512</v>
      </c>
      <c r="F7" s="77">
        <v>5447</v>
      </c>
      <c r="G7" s="77">
        <v>2397</v>
      </c>
      <c r="H7" s="77">
        <v>32994</v>
      </c>
      <c r="I7" s="216" t="s">
        <v>26</v>
      </c>
      <c r="J7" s="217" t="s">
        <v>27</v>
      </c>
      <c r="K7" s="77">
        <v>15686</v>
      </c>
      <c r="L7" s="77">
        <v>173249</v>
      </c>
      <c r="M7" s="218">
        <v>1</v>
      </c>
      <c r="N7" s="123">
        <v>20.5</v>
      </c>
      <c r="O7" s="123">
        <v>1.2</v>
      </c>
      <c r="P7" s="123">
        <v>3.5</v>
      </c>
      <c r="Q7" s="123">
        <v>25.1999999999999</v>
      </c>
      <c r="R7" s="79">
        <f t="shared" si="1"/>
        <v>44615</v>
      </c>
      <c r="S7" s="75">
        <f t="shared" si="2"/>
        <v>50</v>
      </c>
      <c r="T7" s="9"/>
    </row>
    <row r="8" spans="2:20" x14ac:dyDescent="0.15">
      <c r="B8" s="76" t="s">
        <v>30</v>
      </c>
      <c r="C8" s="77">
        <v>243146</v>
      </c>
      <c r="D8" s="77">
        <v>89721</v>
      </c>
      <c r="E8" s="77">
        <v>37201</v>
      </c>
      <c r="F8" s="77">
        <v>4133</v>
      </c>
      <c r="G8" s="77">
        <v>2675</v>
      </c>
      <c r="H8" s="77">
        <v>28976</v>
      </c>
      <c r="I8" s="216" t="s">
        <v>26</v>
      </c>
      <c r="J8" s="217" t="s">
        <v>27</v>
      </c>
      <c r="K8" s="77">
        <v>20181</v>
      </c>
      <c r="L8" s="77">
        <v>182887</v>
      </c>
      <c r="M8" s="218">
        <v>3</v>
      </c>
      <c r="N8" s="123">
        <v>27</v>
      </c>
      <c r="O8" s="123">
        <v>0.6</v>
      </c>
      <c r="P8" s="123">
        <v>4.0999999999999996</v>
      </c>
      <c r="Q8" s="123">
        <v>31.6999999999999</v>
      </c>
      <c r="R8" s="79">
        <f t="shared" si="1"/>
        <v>60259</v>
      </c>
      <c r="S8" s="75">
        <f t="shared" si="2"/>
        <v>0</v>
      </c>
      <c r="T8" s="9"/>
    </row>
    <row r="9" spans="2:20" x14ac:dyDescent="0.15">
      <c r="B9" s="76" t="s">
        <v>31</v>
      </c>
      <c r="C9" s="77">
        <v>298145</v>
      </c>
      <c r="D9" s="77">
        <v>110449</v>
      </c>
      <c r="E9" s="77">
        <v>41252</v>
      </c>
      <c r="F9" s="77">
        <v>14973</v>
      </c>
      <c r="G9" s="77">
        <v>3006</v>
      </c>
      <c r="H9" s="77">
        <v>40000</v>
      </c>
      <c r="I9" s="216" t="s">
        <v>26</v>
      </c>
      <c r="J9" s="217" t="s">
        <v>27</v>
      </c>
      <c r="K9" s="77">
        <v>19920</v>
      </c>
      <c r="L9" s="77">
        <v>229600</v>
      </c>
      <c r="M9" s="218">
        <v>5</v>
      </c>
      <c r="N9" s="123">
        <v>27</v>
      </c>
      <c r="O9" s="123">
        <v>0.2</v>
      </c>
      <c r="P9" s="123">
        <v>3.1</v>
      </c>
      <c r="Q9" s="123">
        <v>30.3</v>
      </c>
      <c r="R9" s="79">
        <f t="shared" si="1"/>
        <v>68545</v>
      </c>
      <c r="S9" s="75">
        <f t="shared" si="2"/>
        <v>0</v>
      </c>
      <c r="T9" s="9"/>
    </row>
    <row r="10" spans="2:20" x14ac:dyDescent="0.15">
      <c r="B10" s="76" t="s">
        <v>32</v>
      </c>
      <c r="C10" s="77">
        <v>370272</v>
      </c>
      <c r="D10" s="77">
        <v>139079</v>
      </c>
      <c r="E10" s="77">
        <v>49034</v>
      </c>
      <c r="F10" s="77">
        <v>23433</v>
      </c>
      <c r="G10" s="77">
        <v>3111</v>
      </c>
      <c r="H10" s="77">
        <v>35755</v>
      </c>
      <c r="I10" s="216" t="s">
        <v>26</v>
      </c>
      <c r="J10" s="217" t="s">
        <v>27</v>
      </c>
      <c r="K10" s="77">
        <v>23906</v>
      </c>
      <c r="L10" s="77">
        <v>274318</v>
      </c>
      <c r="M10" s="218">
        <v>7</v>
      </c>
      <c r="N10" s="123">
        <v>26.8</v>
      </c>
      <c r="O10" s="123">
        <v>0.8</v>
      </c>
      <c r="P10" s="123">
        <v>2</v>
      </c>
      <c r="Q10" s="123">
        <v>29.6</v>
      </c>
      <c r="R10" s="79">
        <f t="shared" si="1"/>
        <v>95954</v>
      </c>
      <c r="S10" s="75">
        <f t="shared" si="2"/>
        <v>0</v>
      </c>
      <c r="T10" s="9"/>
    </row>
    <row r="11" spans="2:20" x14ac:dyDescent="0.15">
      <c r="B11" s="76" t="s">
        <v>33</v>
      </c>
      <c r="C11" s="77">
        <v>453595</v>
      </c>
      <c r="D11" s="77">
        <v>161783</v>
      </c>
      <c r="E11" s="77">
        <v>71658</v>
      </c>
      <c r="F11" s="77">
        <v>16439</v>
      </c>
      <c r="G11" s="77">
        <v>7767</v>
      </c>
      <c r="H11" s="77">
        <v>77512</v>
      </c>
      <c r="I11" s="216" t="s">
        <v>26</v>
      </c>
      <c r="J11" s="217" t="s">
        <v>27</v>
      </c>
      <c r="K11" s="77">
        <v>29431</v>
      </c>
      <c r="L11" s="77">
        <v>364590</v>
      </c>
      <c r="M11" s="218">
        <v>9</v>
      </c>
      <c r="N11" s="123">
        <v>31.899999999999899</v>
      </c>
      <c r="O11" s="123">
        <v>1.1000000000000001</v>
      </c>
      <c r="P11" s="123">
        <v>1.3</v>
      </c>
      <c r="Q11" s="123">
        <v>34.299999999999898</v>
      </c>
      <c r="R11" s="79">
        <f t="shared" si="1"/>
        <v>89005</v>
      </c>
      <c r="S11" s="75">
        <f t="shared" si="2"/>
        <v>0</v>
      </c>
      <c r="T11" s="9"/>
    </row>
    <row r="12" spans="2:20" x14ac:dyDescent="0.15">
      <c r="B12" s="76" t="s">
        <v>34</v>
      </c>
      <c r="C12" s="77">
        <v>538918</v>
      </c>
      <c r="D12" s="77">
        <v>209280</v>
      </c>
      <c r="E12" s="77">
        <v>73595</v>
      </c>
      <c r="F12" s="77">
        <v>18910</v>
      </c>
      <c r="G12" s="77">
        <v>12057</v>
      </c>
      <c r="H12" s="77">
        <v>71240</v>
      </c>
      <c r="I12" s="216" t="s">
        <v>26</v>
      </c>
      <c r="J12" s="217" t="s">
        <v>27</v>
      </c>
      <c r="K12" s="78">
        <v>51843</v>
      </c>
      <c r="L12" s="77">
        <v>436925</v>
      </c>
      <c r="M12" s="218">
        <v>11</v>
      </c>
      <c r="N12" s="123">
        <v>33.399999999999899</v>
      </c>
      <c r="O12" s="123">
        <v>1.7</v>
      </c>
      <c r="P12" s="216" t="s">
        <v>26</v>
      </c>
      <c r="Q12" s="123">
        <v>35.1</v>
      </c>
      <c r="R12" s="79">
        <f t="shared" si="1"/>
        <v>101993</v>
      </c>
      <c r="S12" s="75">
        <f t="shared" si="2"/>
        <v>0</v>
      </c>
      <c r="T12" s="9"/>
    </row>
    <row r="13" spans="2:20" x14ac:dyDescent="0.15">
      <c r="B13" s="76" t="s">
        <v>35</v>
      </c>
      <c r="C13" s="77">
        <v>667149</v>
      </c>
      <c r="D13" s="77">
        <v>255167</v>
      </c>
      <c r="E13" s="77">
        <v>86772</v>
      </c>
      <c r="F13" s="77">
        <v>15713</v>
      </c>
      <c r="G13" s="77">
        <v>12402</v>
      </c>
      <c r="H13" s="77">
        <v>110285</v>
      </c>
      <c r="I13" s="216" t="s">
        <v>26</v>
      </c>
      <c r="J13" s="217" t="s">
        <v>27</v>
      </c>
      <c r="K13" s="78">
        <v>83085</v>
      </c>
      <c r="L13" s="77">
        <v>563424</v>
      </c>
      <c r="M13" s="218">
        <v>13</v>
      </c>
      <c r="N13" s="123">
        <v>21</v>
      </c>
      <c r="O13" s="123">
        <v>0.7</v>
      </c>
      <c r="P13" s="216" t="s">
        <v>26</v>
      </c>
      <c r="Q13" s="123">
        <v>21.6999999999999</v>
      </c>
      <c r="R13" s="79">
        <f t="shared" si="1"/>
        <v>103725</v>
      </c>
      <c r="S13" s="75">
        <f t="shared" si="2"/>
        <v>0</v>
      </c>
      <c r="T13" s="9"/>
    </row>
    <row r="14" spans="2:20" x14ac:dyDescent="0.15">
      <c r="B14" s="76" t="s">
        <v>36</v>
      </c>
      <c r="C14" s="77">
        <v>892471</v>
      </c>
      <c r="D14" s="77">
        <v>385143</v>
      </c>
      <c r="E14" s="77">
        <v>97646</v>
      </c>
      <c r="F14" s="77">
        <v>8752</v>
      </c>
      <c r="G14" s="77">
        <v>25255</v>
      </c>
      <c r="H14" s="77">
        <v>141750</v>
      </c>
      <c r="I14" s="216" t="s">
        <v>26</v>
      </c>
      <c r="J14" s="217" t="s">
        <v>27</v>
      </c>
      <c r="K14" s="78">
        <v>113269</v>
      </c>
      <c r="L14" s="77">
        <v>771815</v>
      </c>
      <c r="M14" s="218">
        <v>15</v>
      </c>
      <c r="N14" s="123">
        <v>23.6</v>
      </c>
      <c r="O14" s="123">
        <v>0.7</v>
      </c>
      <c r="P14" s="216" t="s">
        <v>26</v>
      </c>
      <c r="Q14" s="123">
        <v>24.3</v>
      </c>
      <c r="R14" s="79">
        <f t="shared" si="1"/>
        <v>120656</v>
      </c>
      <c r="S14" s="75">
        <f t="shared" si="2"/>
        <v>0</v>
      </c>
      <c r="T14" s="9"/>
    </row>
    <row r="15" spans="2:20" x14ac:dyDescent="0.15">
      <c r="B15" s="76" t="s">
        <v>37</v>
      </c>
      <c r="C15" s="77">
        <v>925298</v>
      </c>
      <c r="D15" s="77">
        <v>430912</v>
      </c>
      <c r="E15" s="77">
        <v>97648</v>
      </c>
      <c r="F15" s="77">
        <v>8232</v>
      </c>
      <c r="G15" s="77">
        <v>35030</v>
      </c>
      <c r="H15" s="77">
        <v>149673</v>
      </c>
      <c r="I15" s="216" t="s">
        <v>26</v>
      </c>
      <c r="J15" s="217" t="s">
        <v>27</v>
      </c>
      <c r="K15" s="78">
        <v>142494</v>
      </c>
      <c r="L15" s="77">
        <v>863989</v>
      </c>
      <c r="M15" s="218">
        <v>16</v>
      </c>
      <c r="N15" s="123">
        <v>16.399999999999899</v>
      </c>
      <c r="O15" s="123">
        <v>0.4</v>
      </c>
      <c r="P15" s="216" t="s">
        <v>26</v>
      </c>
      <c r="Q15" s="123">
        <v>16.8</v>
      </c>
      <c r="R15" s="79">
        <f t="shared" si="1"/>
        <v>61309</v>
      </c>
      <c r="S15" s="75">
        <f t="shared" si="2"/>
        <v>0</v>
      </c>
      <c r="T15" s="9"/>
    </row>
    <row r="16" spans="2:20" x14ac:dyDescent="0.15">
      <c r="B16" s="76" t="s">
        <v>38</v>
      </c>
      <c r="C16" s="77">
        <v>1076240</v>
      </c>
      <c r="D16" s="77">
        <v>467177</v>
      </c>
      <c r="E16" s="77">
        <v>104148</v>
      </c>
      <c r="F16" s="77">
        <v>6993</v>
      </c>
      <c r="G16" s="77">
        <v>40719</v>
      </c>
      <c r="H16" s="77">
        <v>202642</v>
      </c>
      <c r="I16" s="216" t="s">
        <v>26</v>
      </c>
      <c r="J16" s="217" t="s">
        <v>27</v>
      </c>
      <c r="K16" s="78">
        <v>170406</v>
      </c>
      <c r="L16" s="77">
        <v>992085</v>
      </c>
      <c r="M16" s="218">
        <v>17</v>
      </c>
      <c r="N16" s="123">
        <v>12.4</v>
      </c>
      <c r="O16" s="123">
        <v>0.4</v>
      </c>
      <c r="P16" s="216" t="s">
        <v>26</v>
      </c>
      <c r="Q16" s="123">
        <v>12.8</v>
      </c>
      <c r="R16" s="79">
        <f t="shared" si="1"/>
        <v>84155</v>
      </c>
      <c r="S16" s="75">
        <f t="shared" si="2"/>
        <v>0</v>
      </c>
      <c r="T16" s="9"/>
    </row>
    <row r="17" spans="2:20" x14ac:dyDescent="0.15">
      <c r="B17" s="76" t="s">
        <v>39</v>
      </c>
      <c r="C17" s="77">
        <v>1332998</v>
      </c>
      <c r="D17" s="77">
        <v>533322</v>
      </c>
      <c r="E17" s="77">
        <v>136118</v>
      </c>
      <c r="F17" s="77">
        <v>5658</v>
      </c>
      <c r="G17" s="77">
        <v>45342</v>
      </c>
      <c r="H17" s="77">
        <v>232704</v>
      </c>
      <c r="I17" s="216" t="s">
        <v>26</v>
      </c>
      <c r="J17" s="217" t="s">
        <v>27</v>
      </c>
      <c r="K17" s="78">
        <v>182476</v>
      </c>
      <c r="L17" s="77">
        <v>1135620</v>
      </c>
      <c r="M17" s="218">
        <v>19</v>
      </c>
      <c r="N17" s="123">
        <v>24.6</v>
      </c>
      <c r="O17" s="123">
        <v>0.2</v>
      </c>
      <c r="P17" s="216" t="s">
        <v>26</v>
      </c>
      <c r="Q17" s="123">
        <v>25.1</v>
      </c>
      <c r="R17" s="79">
        <f t="shared" si="1"/>
        <v>197378</v>
      </c>
      <c r="S17" s="75">
        <f t="shared" si="2"/>
        <v>0</v>
      </c>
      <c r="T17" s="9"/>
    </row>
    <row r="18" spans="2:20" x14ac:dyDescent="0.15">
      <c r="B18" s="76" t="s">
        <v>40</v>
      </c>
      <c r="C18" s="77">
        <v>1497270</v>
      </c>
      <c r="D18" s="77">
        <v>565417</v>
      </c>
      <c r="E18" s="77">
        <v>136744</v>
      </c>
      <c r="F18" s="77">
        <v>14603</v>
      </c>
      <c r="G18" s="77">
        <v>64296</v>
      </c>
      <c r="H18" s="77">
        <v>231232</v>
      </c>
      <c r="I18" s="216" t="s">
        <v>26</v>
      </c>
      <c r="J18" s="217" t="s">
        <v>27</v>
      </c>
      <c r="K18" s="78">
        <v>222474</v>
      </c>
      <c r="L18" s="77">
        <v>1234766</v>
      </c>
      <c r="M18" s="218">
        <v>21</v>
      </c>
      <c r="N18" s="123">
        <v>41.299999999999898</v>
      </c>
      <c r="O18" s="123">
        <v>0.2</v>
      </c>
      <c r="P18" s="216" t="s">
        <v>26</v>
      </c>
      <c r="Q18" s="123">
        <v>41.5</v>
      </c>
      <c r="R18" s="79">
        <f t="shared" si="1"/>
        <v>262504</v>
      </c>
      <c r="S18" s="75">
        <f t="shared" si="2"/>
        <v>0</v>
      </c>
      <c r="T18" s="9"/>
    </row>
    <row r="19" spans="2:20" x14ac:dyDescent="0.15">
      <c r="B19" s="76" t="s">
        <v>41</v>
      </c>
      <c r="C19" s="77">
        <v>1581953</v>
      </c>
      <c r="D19" s="77">
        <v>561477</v>
      </c>
      <c r="E19" s="77">
        <v>132773</v>
      </c>
      <c r="F19" s="77">
        <v>13123</v>
      </c>
      <c r="G19" s="77">
        <v>44742</v>
      </c>
      <c r="H19" s="77">
        <v>237747</v>
      </c>
      <c r="I19" s="216" t="s">
        <v>26</v>
      </c>
      <c r="J19" s="217" t="s">
        <v>27</v>
      </c>
      <c r="K19" s="78">
        <v>240499</v>
      </c>
      <c r="L19" s="77">
        <v>1230361</v>
      </c>
      <c r="M19" s="218">
        <f t="shared" si="0"/>
        <v>77.774813790295923</v>
      </c>
      <c r="N19" s="123">
        <v>18.100000000000001</v>
      </c>
      <c r="O19" s="123">
        <v>0.1</v>
      </c>
      <c r="P19" s="216" t="s">
        <v>26</v>
      </c>
      <c r="Q19" s="123">
        <v>18.1999999999999</v>
      </c>
      <c r="R19" s="79">
        <f t="shared" si="1"/>
        <v>351592</v>
      </c>
      <c r="S19" s="75">
        <f t="shared" si="2"/>
        <v>0</v>
      </c>
      <c r="T19" s="9"/>
    </row>
    <row r="20" spans="2:20" x14ac:dyDescent="0.15">
      <c r="B20" s="76" t="s">
        <v>42</v>
      </c>
      <c r="C20" s="77">
        <v>1762782</v>
      </c>
      <c r="D20" s="77">
        <v>584793</v>
      </c>
      <c r="E20" s="77">
        <v>157324</v>
      </c>
      <c r="F20" s="77">
        <v>33776</v>
      </c>
      <c r="G20" s="77">
        <v>46437</v>
      </c>
      <c r="H20" s="77">
        <v>307607</v>
      </c>
      <c r="I20" s="216" t="s">
        <v>26</v>
      </c>
      <c r="J20" s="217" t="s">
        <v>27</v>
      </c>
      <c r="K20" s="78">
        <v>192674</v>
      </c>
      <c r="L20" s="77">
        <v>1322611</v>
      </c>
      <c r="M20" s="218">
        <f t="shared" si="0"/>
        <v>75.02975410459149</v>
      </c>
      <c r="N20" s="123">
        <v>14.8</v>
      </c>
      <c r="O20" s="123">
        <v>0.9</v>
      </c>
      <c r="P20" s="216" t="s">
        <v>26</v>
      </c>
      <c r="Q20" s="123">
        <v>15.6999999999999</v>
      </c>
      <c r="R20" s="79">
        <f t="shared" si="1"/>
        <v>440171</v>
      </c>
      <c r="S20" s="75">
        <f t="shared" si="2"/>
        <v>0</v>
      </c>
      <c r="T20" s="9"/>
    </row>
    <row r="21" spans="2:20" x14ac:dyDescent="0.15">
      <c r="B21" s="76" t="s">
        <v>43</v>
      </c>
      <c r="C21" s="77">
        <v>2189353</v>
      </c>
      <c r="D21" s="77">
        <v>649392</v>
      </c>
      <c r="E21" s="77">
        <v>192794</v>
      </c>
      <c r="F21" s="77">
        <v>29204</v>
      </c>
      <c r="G21" s="77">
        <v>43882</v>
      </c>
      <c r="H21" s="77">
        <v>377885</v>
      </c>
      <c r="I21" s="216" t="s">
        <v>26</v>
      </c>
      <c r="J21" s="217" t="s">
        <v>27</v>
      </c>
      <c r="K21" s="78">
        <v>208741</v>
      </c>
      <c r="L21" s="77">
        <v>1501898</v>
      </c>
      <c r="M21" s="218">
        <f t="shared" si="0"/>
        <v>68.600084134445197</v>
      </c>
      <c r="N21" s="123">
        <v>20.3</v>
      </c>
      <c r="O21" s="123">
        <v>0.2</v>
      </c>
      <c r="P21" s="216" t="s">
        <v>26</v>
      </c>
      <c r="Q21" s="123">
        <v>20.5</v>
      </c>
      <c r="R21" s="79">
        <f t="shared" si="1"/>
        <v>687455</v>
      </c>
      <c r="S21" s="75">
        <f t="shared" si="2"/>
        <v>0</v>
      </c>
      <c r="T21" s="9"/>
    </row>
    <row r="22" spans="2:20" x14ac:dyDescent="0.15">
      <c r="B22" s="76" t="s">
        <v>44</v>
      </c>
      <c r="C22" s="77">
        <v>2188224</v>
      </c>
      <c r="D22" s="77">
        <v>632801</v>
      </c>
      <c r="E22" s="77">
        <v>203741</v>
      </c>
      <c r="F22" s="77">
        <v>50727</v>
      </c>
      <c r="G22" s="77">
        <v>34995</v>
      </c>
      <c r="H22" s="77">
        <v>430617</v>
      </c>
      <c r="I22" s="216" t="s">
        <v>26</v>
      </c>
      <c r="J22" s="217" t="s">
        <v>27</v>
      </c>
      <c r="K22" s="78">
        <v>242178</v>
      </c>
      <c r="L22" s="77">
        <v>1595059</v>
      </c>
      <c r="M22" s="218">
        <f t="shared" si="0"/>
        <v>72.892857403995208</v>
      </c>
      <c r="N22" s="123">
        <v>19.6999999999999</v>
      </c>
      <c r="O22" s="123">
        <v>0.8</v>
      </c>
      <c r="P22" s="216" t="s">
        <v>26</v>
      </c>
      <c r="Q22" s="123">
        <v>20.5</v>
      </c>
      <c r="R22" s="79">
        <f t="shared" si="1"/>
        <v>593165</v>
      </c>
      <c r="S22" s="75">
        <f t="shared" si="2"/>
        <v>0</v>
      </c>
      <c r="T22" s="9"/>
    </row>
    <row r="23" spans="2:20" x14ac:dyDescent="0.15">
      <c r="B23" s="76" t="s">
        <v>45</v>
      </c>
      <c r="C23" s="77">
        <v>2427665</v>
      </c>
      <c r="D23" s="77">
        <v>694366</v>
      </c>
      <c r="E23" s="77">
        <v>191491</v>
      </c>
      <c r="F23" s="77">
        <v>68908</v>
      </c>
      <c r="G23" s="77">
        <v>23063</v>
      </c>
      <c r="H23" s="77">
        <v>380600</v>
      </c>
      <c r="I23" s="77">
        <v>32950</v>
      </c>
      <c r="J23" s="217" t="s">
        <v>27</v>
      </c>
      <c r="K23" s="78">
        <v>285308</v>
      </c>
      <c r="L23" s="77">
        <v>1676686</v>
      </c>
      <c r="M23" s="218">
        <f t="shared" si="0"/>
        <v>69.065789554983908</v>
      </c>
      <c r="N23" s="123">
        <v>33.299999999999898</v>
      </c>
      <c r="O23" s="123">
        <v>3.3</v>
      </c>
      <c r="P23" s="216" t="s">
        <v>26</v>
      </c>
      <c r="Q23" s="123">
        <v>36.6</v>
      </c>
      <c r="R23" s="79">
        <f t="shared" si="1"/>
        <v>750979</v>
      </c>
      <c r="S23" s="75">
        <f t="shared" si="2"/>
        <v>0</v>
      </c>
      <c r="T23" s="9"/>
    </row>
    <row r="24" spans="2:20" x14ac:dyDescent="0.15">
      <c r="B24" s="76" t="s">
        <v>46</v>
      </c>
      <c r="C24" s="77">
        <v>2539762</v>
      </c>
      <c r="D24" s="77">
        <v>762678</v>
      </c>
      <c r="E24" s="77">
        <v>192920</v>
      </c>
      <c r="F24" s="77">
        <v>38613</v>
      </c>
      <c r="G24" s="77">
        <v>25326</v>
      </c>
      <c r="H24" s="77">
        <v>376425</v>
      </c>
      <c r="I24" s="77">
        <v>34224</v>
      </c>
      <c r="J24" s="217" t="s">
        <v>27</v>
      </c>
      <c r="K24" s="78">
        <v>297991</v>
      </c>
      <c r="L24" s="77">
        <v>1728177</v>
      </c>
      <c r="M24" s="218">
        <f t="shared" si="0"/>
        <v>68.044840422055302</v>
      </c>
      <c r="N24" s="123">
        <v>22.8</v>
      </c>
      <c r="O24" s="123">
        <v>1.3</v>
      </c>
      <c r="P24" s="216" t="s">
        <v>26</v>
      </c>
      <c r="Q24" s="123">
        <v>24.1</v>
      </c>
      <c r="R24" s="79">
        <f t="shared" si="1"/>
        <v>811585</v>
      </c>
      <c r="S24" s="75">
        <f t="shared" si="2"/>
        <v>0</v>
      </c>
      <c r="T24" s="9"/>
    </row>
    <row r="25" spans="2:20" x14ac:dyDescent="0.15">
      <c r="B25" s="76" t="s">
        <v>47</v>
      </c>
      <c r="C25" s="77">
        <v>2654984</v>
      </c>
      <c r="D25" s="77">
        <v>838699</v>
      </c>
      <c r="E25" s="77">
        <v>221327</v>
      </c>
      <c r="F25" s="77">
        <v>41927</v>
      </c>
      <c r="G25" s="77">
        <v>45897</v>
      </c>
      <c r="H25" s="77">
        <v>399181</v>
      </c>
      <c r="I25" s="77">
        <v>42915</v>
      </c>
      <c r="J25" s="217" t="s">
        <v>27</v>
      </c>
      <c r="K25" s="78">
        <v>314483</v>
      </c>
      <c r="L25" s="77">
        <v>1904429</v>
      </c>
      <c r="M25" s="218">
        <f t="shared" si="0"/>
        <v>71.730338111265453</v>
      </c>
      <c r="N25" s="123">
        <v>22.3</v>
      </c>
      <c r="O25" s="123">
        <v>1</v>
      </c>
      <c r="P25" s="216" t="s">
        <v>26</v>
      </c>
      <c r="Q25" s="123">
        <v>23.3</v>
      </c>
      <c r="R25" s="79">
        <f t="shared" si="1"/>
        <v>750555</v>
      </c>
      <c r="S25" s="75">
        <f t="shared" si="2"/>
        <v>0</v>
      </c>
      <c r="T25" s="9"/>
    </row>
    <row r="26" spans="2:20" x14ac:dyDescent="0.15">
      <c r="B26" s="76" t="s">
        <v>48</v>
      </c>
      <c r="C26" s="77">
        <v>2787470</v>
      </c>
      <c r="D26" s="77">
        <v>922929</v>
      </c>
      <c r="E26" s="77">
        <v>249010</v>
      </c>
      <c r="F26" s="77">
        <v>43964</v>
      </c>
      <c r="G26" s="77">
        <v>39378</v>
      </c>
      <c r="H26" s="77">
        <v>444944</v>
      </c>
      <c r="I26" s="77">
        <v>41046</v>
      </c>
      <c r="J26" s="217" t="s">
        <v>27</v>
      </c>
      <c r="K26" s="78">
        <v>333696</v>
      </c>
      <c r="L26" s="77">
        <v>2074967</v>
      </c>
      <c r="M26" s="218">
        <f t="shared" si="0"/>
        <v>74.439079164977557</v>
      </c>
      <c r="N26" s="123">
        <v>20.5</v>
      </c>
      <c r="O26" s="123">
        <v>0.3</v>
      </c>
      <c r="P26" s="216" t="s">
        <v>26</v>
      </c>
      <c r="Q26" s="123">
        <v>20.8</v>
      </c>
      <c r="R26" s="79">
        <f t="shared" si="1"/>
        <v>712503</v>
      </c>
      <c r="S26" s="75">
        <f t="shared" si="2"/>
        <v>0</v>
      </c>
      <c r="T26" s="9"/>
    </row>
    <row r="27" spans="2:20" x14ac:dyDescent="0.15">
      <c r="B27" s="76" t="s">
        <v>49</v>
      </c>
      <c r="C27" s="77">
        <v>2944137</v>
      </c>
      <c r="D27" s="77">
        <v>943159</v>
      </c>
      <c r="E27" s="77">
        <v>282741</v>
      </c>
      <c r="F27" s="77">
        <v>46476</v>
      </c>
      <c r="G27" s="77">
        <v>48937</v>
      </c>
      <c r="H27" s="77">
        <v>486754</v>
      </c>
      <c r="I27" s="77">
        <v>42673</v>
      </c>
      <c r="J27" s="217" t="s">
        <v>27</v>
      </c>
      <c r="K27" s="78">
        <v>338150</v>
      </c>
      <c r="L27" s="77">
        <v>2188890</v>
      </c>
      <c r="M27" s="218">
        <f t="shared" si="0"/>
        <v>74.347423370583641</v>
      </c>
      <c r="N27" s="123">
        <v>24.1</v>
      </c>
      <c r="O27" s="216" t="s">
        <v>26</v>
      </c>
      <c r="P27" s="216" t="s">
        <v>26</v>
      </c>
      <c r="Q27" s="123">
        <v>24.1</v>
      </c>
      <c r="R27" s="79">
        <f t="shared" si="1"/>
        <v>755247</v>
      </c>
      <c r="S27" s="75">
        <f t="shared" si="2"/>
        <v>0</v>
      </c>
      <c r="T27" s="9"/>
    </row>
    <row r="28" spans="2:20" x14ac:dyDescent="0.15">
      <c r="B28" s="76" t="s">
        <v>50</v>
      </c>
      <c r="C28" s="77">
        <v>3371803</v>
      </c>
      <c r="D28" s="77">
        <v>996967</v>
      </c>
      <c r="E28" s="77">
        <v>315688</v>
      </c>
      <c r="F28" s="77">
        <v>48809</v>
      </c>
      <c r="G28" s="77">
        <v>51051</v>
      </c>
      <c r="H28" s="77">
        <v>509762</v>
      </c>
      <c r="I28" s="77">
        <v>46426</v>
      </c>
      <c r="J28" s="217" t="s">
        <v>27</v>
      </c>
      <c r="K28" s="78">
        <v>350692</v>
      </c>
      <c r="L28" s="77">
        <v>2319395</v>
      </c>
      <c r="M28" s="218">
        <f t="shared" si="0"/>
        <v>68.78797486092752</v>
      </c>
      <c r="N28" s="123">
        <v>25.6999999999999</v>
      </c>
      <c r="O28" s="123">
        <v>0.1</v>
      </c>
      <c r="P28" s="216" t="s">
        <v>26</v>
      </c>
      <c r="Q28" s="123">
        <v>25.8</v>
      </c>
      <c r="R28" s="79">
        <f t="shared" si="1"/>
        <v>1052408</v>
      </c>
      <c r="S28" s="75">
        <f t="shared" si="2"/>
        <v>0</v>
      </c>
      <c r="T28" s="9"/>
    </row>
    <row r="29" spans="2:20" x14ac:dyDescent="0.15">
      <c r="B29" s="76" t="s">
        <v>51</v>
      </c>
      <c r="C29" s="77">
        <v>3827417</v>
      </c>
      <c r="D29" s="77">
        <v>1084456</v>
      </c>
      <c r="E29" s="77">
        <v>323329</v>
      </c>
      <c r="F29" s="77">
        <v>55561</v>
      </c>
      <c r="G29" s="77">
        <v>50229</v>
      </c>
      <c r="H29" s="77">
        <v>552379</v>
      </c>
      <c r="I29" s="77">
        <v>60391</v>
      </c>
      <c r="J29" s="217" t="s">
        <v>27</v>
      </c>
      <c r="K29" s="78">
        <v>368514</v>
      </c>
      <c r="L29" s="77">
        <v>2494859</v>
      </c>
      <c r="M29" s="218">
        <f t="shared" si="0"/>
        <v>65.183882498301074</v>
      </c>
      <c r="N29" s="123">
        <v>25</v>
      </c>
      <c r="O29" s="123">
        <v>0.2</v>
      </c>
      <c r="P29" s="216" t="s">
        <v>26</v>
      </c>
      <c r="Q29" s="123">
        <v>25.1999999999999</v>
      </c>
      <c r="R29" s="79">
        <f t="shared" si="1"/>
        <v>1332558</v>
      </c>
      <c r="S29" s="75">
        <f t="shared" si="2"/>
        <v>0</v>
      </c>
      <c r="T29" s="9"/>
    </row>
    <row r="30" spans="2:20" x14ac:dyDescent="0.15">
      <c r="B30" s="76" t="s">
        <v>53</v>
      </c>
      <c r="C30" s="77">
        <v>4082853</v>
      </c>
      <c r="D30" s="77">
        <v>1139350</v>
      </c>
      <c r="E30" s="77">
        <v>362926</v>
      </c>
      <c r="F30" s="77">
        <v>53290</v>
      </c>
      <c r="G30" s="77">
        <v>58230</v>
      </c>
      <c r="H30" s="77">
        <v>637317</v>
      </c>
      <c r="I30" s="77">
        <v>58554</v>
      </c>
      <c r="J30" s="217" t="s">
        <v>27</v>
      </c>
      <c r="K30" s="78">
        <v>420012</v>
      </c>
      <c r="L30" s="77">
        <v>2729679</v>
      </c>
      <c r="M30" s="218">
        <f t="shared" si="0"/>
        <v>66.85714621613856</v>
      </c>
      <c r="N30" s="123">
        <v>30.1</v>
      </c>
      <c r="O30" s="216" t="s">
        <v>26</v>
      </c>
      <c r="P30" s="216" t="s">
        <v>26</v>
      </c>
      <c r="Q30" s="123">
        <v>30.1</v>
      </c>
      <c r="R30" s="79">
        <f t="shared" si="1"/>
        <v>1353174</v>
      </c>
      <c r="S30" s="75">
        <f t="shared" si="2"/>
        <v>0</v>
      </c>
      <c r="T30" s="9"/>
    </row>
    <row r="31" spans="2:20" x14ac:dyDescent="0.15">
      <c r="B31" s="76" t="s">
        <v>54</v>
      </c>
      <c r="C31" s="77">
        <v>4545947</v>
      </c>
      <c r="D31" s="77">
        <v>1212056</v>
      </c>
      <c r="E31" s="77">
        <v>421046</v>
      </c>
      <c r="F31" s="77">
        <v>49330</v>
      </c>
      <c r="G31" s="77">
        <v>63436</v>
      </c>
      <c r="H31" s="77">
        <v>763749</v>
      </c>
      <c r="I31" s="77">
        <v>62608</v>
      </c>
      <c r="J31" s="217" t="s">
        <v>27</v>
      </c>
      <c r="K31" s="78">
        <v>482040</v>
      </c>
      <c r="L31" s="77">
        <v>3054265</v>
      </c>
      <c r="M31" s="218">
        <f t="shared" si="0"/>
        <v>67.186551009063677</v>
      </c>
      <c r="N31" s="123">
        <v>16.899999999999899</v>
      </c>
      <c r="O31" s="123">
        <v>0.1</v>
      </c>
      <c r="P31" s="216" t="s">
        <v>26</v>
      </c>
      <c r="Q31" s="123">
        <v>17</v>
      </c>
      <c r="R31" s="79">
        <f t="shared" si="1"/>
        <v>1491682</v>
      </c>
      <c r="S31" s="75">
        <f t="shared" si="2"/>
        <v>0</v>
      </c>
      <c r="T31" s="9"/>
    </row>
    <row r="32" spans="2:20" x14ac:dyDescent="0.15">
      <c r="B32" s="76" t="s">
        <v>55</v>
      </c>
      <c r="C32" s="77">
        <v>5085136</v>
      </c>
      <c r="D32" s="77">
        <v>1269213</v>
      </c>
      <c r="E32" s="77">
        <v>465533</v>
      </c>
      <c r="F32" s="77">
        <v>50898</v>
      </c>
      <c r="G32" s="77">
        <v>67031</v>
      </c>
      <c r="H32" s="77">
        <v>793115</v>
      </c>
      <c r="I32" s="77">
        <v>157138</v>
      </c>
      <c r="J32" s="217" t="s">
        <v>27</v>
      </c>
      <c r="K32" s="78">
        <v>535576</v>
      </c>
      <c r="L32" s="77">
        <v>3338504</v>
      </c>
      <c r="M32" s="218">
        <f t="shared" si="0"/>
        <v>65.652206745306316</v>
      </c>
      <c r="N32" s="123">
        <v>14.5</v>
      </c>
      <c r="O32" s="123">
        <v>0</v>
      </c>
      <c r="P32" s="216" t="s">
        <v>26</v>
      </c>
      <c r="Q32" s="123">
        <v>14.5</v>
      </c>
      <c r="R32" s="79">
        <f t="shared" si="1"/>
        <v>1746632</v>
      </c>
      <c r="S32" s="75">
        <f t="shared" si="2"/>
        <v>0</v>
      </c>
      <c r="T32" s="9"/>
    </row>
    <row r="33" spans="2:20" x14ac:dyDescent="0.15">
      <c r="B33" s="219" t="s">
        <v>56</v>
      </c>
      <c r="C33" s="85">
        <v>4550750</v>
      </c>
      <c r="D33" s="85">
        <v>1319339</v>
      </c>
      <c r="E33" s="85">
        <v>494585</v>
      </c>
      <c r="F33" s="85">
        <v>52368</v>
      </c>
      <c r="G33" s="85">
        <v>98201</v>
      </c>
      <c r="H33" s="85">
        <v>820797</v>
      </c>
      <c r="I33" s="85">
        <v>203674</v>
      </c>
      <c r="J33" s="85">
        <v>3587</v>
      </c>
      <c r="K33" s="220">
        <v>568139</v>
      </c>
      <c r="L33" s="85">
        <v>3560690</v>
      </c>
      <c r="M33" s="221">
        <f t="shared" si="0"/>
        <v>78.244025710047794</v>
      </c>
      <c r="N33" s="222">
        <v>11.6999999999999</v>
      </c>
      <c r="O33" s="222">
        <v>0</v>
      </c>
      <c r="P33" s="223" t="s">
        <v>26</v>
      </c>
      <c r="Q33" s="222">
        <v>11.6999999999999</v>
      </c>
      <c r="R33" s="86">
        <f t="shared" si="1"/>
        <v>990060</v>
      </c>
      <c r="S33" s="75">
        <f t="shared" si="2"/>
        <v>0</v>
      </c>
      <c r="T33" s="9"/>
    </row>
    <row r="34" spans="2:20" x14ac:dyDescent="0.15">
      <c r="B34" s="76" t="s">
        <v>57</v>
      </c>
      <c r="C34" s="77">
        <v>4807175</v>
      </c>
      <c r="D34" s="77">
        <v>1392732</v>
      </c>
      <c r="E34" s="77">
        <v>527903</v>
      </c>
      <c r="F34" s="77">
        <v>49084</v>
      </c>
      <c r="G34" s="77">
        <v>67745</v>
      </c>
      <c r="H34" s="77">
        <v>835751</v>
      </c>
      <c r="I34" s="77">
        <v>207549</v>
      </c>
      <c r="J34" s="77">
        <v>3587</v>
      </c>
      <c r="K34" s="77">
        <v>655830</v>
      </c>
      <c r="L34" s="77">
        <v>3740181</v>
      </c>
      <c r="M34" s="218">
        <f t="shared" si="0"/>
        <v>77.804136525090101</v>
      </c>
      <c r="N34" s="123">
        <v>12</v>
      </c>
      <c r="O34" s="123">
        <v>0</v>
      </c>
      <c r="P34" s="216" t="s">
        <v>26</v>
      </c>
      <c r="Q34" s="123">
        <v>12</v>
      </c>
      <c r="R34" s="79">
        <f t="shared" si="1"/>
        <v>1066994</v>
      </c>
      <c r="S34" s="75">
        <f t="shared" si="2"/>
        <v>0</v>
      </c>
      <c r="T34" s="9"/>
    </row>
    <row r="35" spans="2:20" x14ac:dyDescent="0.15">
      <c r="B35" s="76" t="s">
        <v>58</v>
      </c>
      <c r="C35" s="77">
        <v>5235576</v>
      </c>
      <c r="D35" s="77">
        <v>1356113</v>
      </c>
      <c r="E35" s="77">
        <v>523360</v>
      </c>
      <c r="F35" s="77">
        <v>67337</v>
      </c>
      <c r="G35" s="77">
        <v>128232</v>
      </c>
      <c r="H35" s="77">
        <v>819497</v>
      </c>
      <c r="I35" s="77">
        <v>134068</v>
      </c>
      <c r="J35" s="217" t="s">
        <v>27</v>
      </c>
      <c r="K35" s="77">
        <v>740184</v>
      </c>
      <c r="L35" s="77">
        <v>3768791</v>
      </c>
      <c r="M35" s="218">
        <f t="shared" si="0"/>
        <v>71.984266869586079</v>
      </c>
      <c r="N35" s="123">
        <v>18.8</v>
      </c>
      <c r="O35" s="123">
        <v>0</v>
      </c>
      <c r="P35" s="216" t="s">
        <v>27</v>
      </c>
      <c r="Q35" s="123">
        <v>18.8</v>
      </c>
      <c r="R35" s="79">
        <f t="shared" si="1"/>
        <v>1466785</v>
      </c>
      <c r="S35" s="75">
        <f t="shared" si="2"/>
        <v>0</v>
      </c>
      <c r="T35" s="9"/>
    </row>
    <row r="36" spans="2:20" x14ac:dyDescent="0.15">
      <c r="B36" s="76" t="s">
        <v>59</v>
      </c>
      <c r="C36" s="77">
        <v>5480428</v>
      </c>
      <c r="D36" s="77">
        <v>1435743</v>
      </c>
      <c r="E36" s="77">
        <v>550352</v>
      </c>
      <c r="F36" s="77">
        <v>57371</v>
      </c>
      <c r="G36" s="77">
        <v>150024</v>
      </c>
      <c r="H36" s="77">
        <v>824365</v>
      </c>
      <c r="I36" s="77">
        <v>146018</v>
      </c>
      <c r="J36" s="217" t="s">
        <v>27</v>
      </c>
      <c r="K36" s="77">
        <v>857789</v>
      </c>
      <c r="L36" s="77">
        <v>4021662</v>
      </c>
      <c r="M36" s="218">
        <f t="shared" si="0"/>
        <v>73.382261385424641</v>
      </c>
      <c r="N36" s="125">
        <v>15.6</v>
      </c>
      <c r="O36" s="216" t="s">
        <v>27</v>
      </c>
      <c r="P36" s="216" t="s">
        <v>27</v>
      </c>
      <c r="Q36" s="123">
        <v>15.6</v>
      </c>
      <c r="R36" s="79">
        <f t="shared" si="1"/>
        <v>1458766</v>
      </c>
      <c r="S36" s="75">
        <f t="shared" si="2"/>
        <v>0</v>
      </c>
      <c r="T36" s="9"/>
    </row>
    <row r="37" spans="2:20" x14ac:dyDescent="0.15">
      <c r="B37" s="76" t="s">
        <v>60</v>
      </c>
      <c r="C37" s="77">
        <v>5385177</v>
      </c>
      <c r="D37" s="77">
        <v>1515201</v>
      </c>
      <c r="E37" s="77">
        <v>550770</v>
      </c>
      <c r="F37" s="77">
        <v>60395</v>
      </c>
      <c r="G37" s="77">
        <v>172099</v>
      </c>
      <c r="H37" s="77">
        <v>733925</v>
      </c>
      <c r="I37" s="82">
        <v>157368</v>
      </c>
      <c r="J37" s="217" t="s">
        <v>27</v>
      </c>
      <c r="K37" s="77">
        <v>990247</v>
      </c>
      <c r="L37" s="77">
        <v>4180005</v>
      </c>
      <c r="M37" s="218">
        <f t="shared" si="0"/>
        <v>77.620568460423868</v>
      </c>
      <c r="N37" s="123">
        <v>18</v>
      </c>
      <c r="O37" s="123">
        <v>0</v>
      </c>
      <c r="P37" s="216" t="s">
        <v>27</v>
      </c>
      <c r="Q37" s="123">
        <v>18</v>
      </c>
      <c r="R37" s="79">
        <f t="shared" si="1"/>
        <v>1205172</v>
      </c>
      <c r="S37" s="75">
        <f t="shared" si="2"/>
        <v>0</v>
      </c>
      <c r="T37" s="9"/>
    </row>
    <row r="38" spans="2:20" x14ac:dyDescent="0.15">
      <c r="B38" s="76" t="s">
        <v>62</v>
      </c>
      <c r="C38" s="77">
        <v>6103121</v>
      </c>
      <c r="D38" s="77">
        <v>1562339</v>
      </c>
      <c r="E38" s="77">
        <v>616477</v>
      </c>
      <c r="F38" s="77">
        <v>50549</v>
      </c>
      <c r="G38" s="77">
        <v>188660</v>
      </c>
      <c r="H38" s="77">
        <v>796247</v>
      </c>
      <c r="I38" s="77">
        <v>208349</v>
      </c>
      <c r="J38" s="217" t="s">
        <v>27</v>
      </c>
      <c r="K38" s="77">
        <v>1000915</v>
      </c>
      <c r="L38" s="77">
        <v>4423536</v>
      </c>
      <c r="M38" s="218">
        <f t="shared" si="0"/>
        <v>72.479900038029726</v>
      </c>
      <c r="N38" s="123">
        <v>13</v>
      </c>
      <c r="O38" s="123">
        <v>0</v>
      </c>
      <c r="P38" s="216" t="s">
        <v>27</v>
      </c>
      <c r="Q38" s="123">
        <v>13</v>
      </c>
      <c r="R38" s="79">
        <f t="shared" si="1"/>
        <v>1679585</v>
      </c>
      <c r="S38" s="75">
        <f t="shared" si="2"/>
        <v>0</v>
      </c>
      <c r="T38" s="9"/>
    </row>
    <row r="39" spans="2:20" x14ac:dyDescent="0.15">
      <c r="B39" s="219" t="s">
        <v>63</v>
      </c>
      <c r="C39" s="85">
        <v>5407584</v>
      </c>
      <c r="D39" s="85">
        <v>1617232</v>
      </c>
      <c r="E39" s="85">
        <v>639706</v>
      </c>
      <c r="F39" s="85">
        <v>31925</v>
      </c>
      <c r="G39" s="85">
        <v>149889</v>
      </c>
      <c r="H39" s="85">
        <v>849259</v>
      </c>
      <c r="I39" s="85">
        <v>207323</v>
      </c>
      <c r="J39" s="85">
        <v>187</v>
      </c>
      <c r="K39" s="85">
        <v>971378</v>
      </c>
      <c r="L39" s="85">
        <v>4466899</v>
      </c>
      <c r="M39" s="221">
        <f t="shared" si="0"/>
        <v>82.604338647351568</v>
      </c>
      <c r="N39" s="222">
        <v>26.1</v>
      </c>
      <c r="O39" s="222">
        <v>1.8</v>
      </c>
      <c r="P39" s="223" t="s">
        <v>27</v>
      </c>
      <c r="Q39" s="222">
        <v>27.9</v>
      </c>
      <c r="R39" s="86">
        <f t="shared" si="1"/>
        <v>940685</v>
      </c>
      <c r="S39" s="75">
        <f t="shared" si="2"/>
        <v>0</v>
      </c>
      <c r="T39" s="9"/>
    </row>
    <row r="40" spans="2:20" x14ac:dyDescent="0.15">
      <c r="B40" s="76" t="s">
        <v>64</v>
      </c>
      <c r="C40" s="77">
        <v>6359249</v>
      </c>
      <c r="D40" s="77">
        <v>1526615</v>
      </c>
      <c r="E40" s="77">
        <v>625515</v>
      </c>
      <c r="F40" s="77">
        <v>75100</v>
      </c>
      <c r="G40" s="77">
        <v>214216</v>
      </c>
      <c r="H40" s="77">
        <v>914533</v>
      </c>
      <c r="I40" s="77">
        <v>196999</v>
      </c>
      <c r="J40" s="77">
        <v>175</v>
      </c>
      <c r="K40" s="77">
        <v>993836</v>
      </c>
      <c r="L40" s="77">
        <v>4546989</v>
      </c>
      <c r="M40" s="218">
        <f t="shared" si="0"/>
        <v>71.501980815659209</v>
      </c>
      <c r="N40" s="123">
        <v>8.5</v>
      </c>
      <c r="O40" s="123">
        <v>0.2</v>
      </c>
      <c r="P40" s="216" t="s">
        <v>27</v>
      </c>
      <c r="Q40" s="123">
        <v>8.6999999999999993</v>
      </c>
      <c r="R40" s="79">
        <f t="shared" si="1"/>
        <v>1812260</v>
      </c>
      <c r="S40" s="75">
        <f t="shared" si="2"/>
        <v>0</v>
      </c>
      <c r="T40" s="9"/>
    </row>
    <row r="41" spans="2:20" x14ac:dyDescent="0.15">
      <c r="B41" s="76" t="s">
        <v>65</v>
      </c>
      <c r="C41" s="77">
        <v>6099066</v>
      </c>
      <c r="D41" s="77">
        <v>1472002</v>
      </c>
      <c r="E41" s="77">
        <v>645232</v>
      </c>
      <c r="F41" s="77">
        <v>43549</v>
      </c>
      <c r="G41" s="77">
        <v>228132</v>
      </c>
      <c r="H41" s="77">
        <v>911692</v>
      </c>
      <c r="I41" s="77">
        <v>196524</v>
      </c>
      <c r="J41" s="77">
        <v>142</v>
      </c>
      <c r="K41" s="77">
        <v>1079594</v>
      </c>
      <c r="L41" s="77">
        <v>4576867</v>
      </c>
      <c r="M41" s="218">
        <f>L41/(C41+63800+139200)*100</f>
        <v>72.624866194673302</v>
      </c>
      <c r="N41" s="123">
        <v>11.8</v>
      </c>
      <c r="O41" s="123">
        <v>0.2</v>
      </c>
      <c r="P41" s="216" t="s">
        <v>27</v>
      </c>
      <c r="Q41" s="123">
        <v>12</v>
      </c>
      <c r="R41" s="79">
        <f t="shared" si="1"/>
        <v>1522199</v>
      </c>
      <c r="S41" s="75">
        <f t="shared" si="2"/>
        <v>0</v>
      </c>
      <c r="T41" s="9"/>
    </row>
    <row r="42" spans="2:20" x14ac:dyDescent="0.15">
      <c r="B42" s="76" t="s">
        <v>66</v>
      </c>
      <c r="C42" s="77">
        <v>5270701</v>
      </c>
      <c r="D42" s="77">
        <v>1480746</v>
      </c>
      <c r="E42" s="77">
        <v>583868</v>
      </c>
      <c r="F42" s="77">
        <v>43948</v>
      </c>
      <c r="G42" s="77">
        <v>221440</v>
      </c>
      <c r="H42" s="77">
        <v>908673</v>
      </c>
      <c r="I42" s="77">
        <v>199363</v>
      </c>
      <c r="J42" s="77">
        <v>142</v>
      </c>
      <c r="K42" s="77">
        <v>1114609</v>
      </c>
      <c r="L42" s="77">
        <v>4552789</v>
      </c>
      <c r="M42" s="218">
        <f>L42/(C42+64900+277300)*100</f>
        <v>81.112939636740435</v>
      </c>
      <c r="N42" s="123">
        <v>8.1999999999999993</v>
      </c>
      <c r="O42" s="123">
        <v>0</v>
      </c>
      <c r="P42" s="216" t="s">
        <v>27</v>
      </c>
      <c r="Q42" s="123">
        <v>8.1999999999999993</v>
      </c>
      <c r="R42" s="79">
        <f t="shared" si="1"/>
        <v>717912</v>
      </c>
      <c r="S42" s="75">
        <f t="shared" si="2"/>
        <v>0</v>
      </c>
      <c r="T42" s="9"/>
    </row>
    <row r="43" spans="2:20" x14ac:dyDescent="0.15">
      <c r="B43" s="76" t="s">
        <v>67</v>
      </c>
      <c r="C43" s="83">
        <v>5515628</v>
      </c>
      <c r="D43" s="83">
        <v>1442658</v>
      </c>
      <c r="E43" s="77">
        <v>563379</v>
      </c>
      <c r="F43" s="77">
        <v>42292</v>
      </c>
      <c r="G43" s="77">
        <v>255128</v>
      </c>
      <c r="H43" s="77">
        <v>831840</v>
      </c>
      <c r="I43" s="77">
        <v>214163</v>
      </c>
      <c r="J43" s="217" t="s">
        <v>27</v>
      </c>
      <c r="K43" s="77">
        <v>1094940</v>
      </c>
      <c r="L43" s="77">
        <v>4444400</v>
      </c>
      <c r="M43" s="218">
        <f>L43/(C43+35600+588900)*100</f>
        <v>72.38285586228821</v>
      </c>
      <c r="N43" s="224">
        <f>(456336/C43)*100</f>
        <v>8.2735093809807321</v>
      </c>
      <c r="O43" s="224">
        <f>(6505/C43)*100</f>
        <v>0.11793761290645416</v>
      </c>
      <c r="P43" s="216" t="s">
        <v>27</v>
      </c>
      <c r="Q43" s="224">
        <f>(462841/C43)*100</f>
        <v>8.3914469938871878</v>
      </c>
      <c r="R43" s="79">
        <f t="shared" si="1"/>
        <v>1071228</v>
      </c>
      <c r="S43" s="75">
        <f t="shared" si="2"/>
        <v>0</v>
      </c>
      <c r="T43" s="9"/>
    </row>
    <row r="44" spans="2:20" x14ac:dyDescent="0.15">
      <c r="B44" s="76" t="s">
        <v>68</v>
      </c>
      <c r="C44" s="85">
        <v>5762485</v>
      </c>
      <c r="D44" s="85">
        <v>1526565</v>
      </c>
      <c r="E44" s="85">
        <v>523494</v>
      </c>
      <c r="F44" s="85">
        <v>39481</v>
      </c>
      <c r="G44" s="85">
        <v>296984</v>
      </c>
      <c r="H44" s="85">
        <v>827899</v>
      </c>
      <c r="I44" s="85">
        <v>393697</v>
      </c>
      <c r="J44" s="217" t="s">
        <v>27</v>
      </c>
      <c r="K44" s="85">
        <v>1035950</v>
      </c>
      <c r="L44" s="85">
        <v>4644070</v>
      </c>
      <c r="M44" s="218">
        <f>L44/(C44+41600+408700)*100</f>
        <v>74.750212666300214</v>
      </c>
      <c r="N44" s="224">
        <f>(557888/C44)*100</f>
        <v>9.6813787801616833</v>
      </c>
      <c r="O44" s="224">
        <f>(11956/C44)*100</f>
        <v>0.20747993270264475</v>
      </c>
      <c r="P44" s="216" t="s">
        <v>27</v>
      </c>
      <c r="Q44" s="224">
        <f>(569844/C44)*100</f>
        <v>9.8888587128643284</v>
      </c>
      <c r="R44" s="86">
        <f t="shared" si="1"/>
        <v>1118415</v>
      </c>
      <c r="S44" s="75">
        <f t="shared" ref="S44:S61" si="3">SUM(D44:K44)-L44</f>
        <v>0</v>
      </c>
      <c r="T44" s="9"/>
    </row>
    <row r="45" spans="2:20" x14ac:dyDescent="0.15">
      <c r="B45" s="76" t="s">
        <v>69</v>
      </c>
      <c r="C45" s="85">
        <v>5745246</v>
      </c>
      <c r="D45" s="85">
        <v>1471025</v>
      </c>
      <c r="E45" s="85">
        <v>549412</v>
      </c>
      <c r="F45" s="85">
        <v>40286</v>
      </c>
      <c r="G45" s="85">
        <v>276070</v>
      </c>
      <c r="H45" s="85">
        <v>949582</v>
      </c>
      <c r="I45" s="85">
        <v>396104</v>
      </c>
      <c r="J45" s="217" t="s">
        <v>27</v>
      </c>
      <c r="K45" s="85">
        <v>1151699</v>
      </c>
      <c r="L45" s="85">
        <v>4834178</v>
      </c>
      <c r="M45" s="218">
        <f>L45/(C45+45100+313800)*100</f>
        <v>79.194993042433779</v>
      </c>
      <c r="N45" s="224">
        <f>(399388/C45)*100</f>
        <v>6.9516257441369786</v>
      </c>
      <c r="O45" s="224">
        <f>(1425/C45)*100</f>
        <v>2.4803115480172652E-2</v>
      </c>
      <c r="P45" s="216" t="s">
        <v>27</v>
      </c>
      <c r="Q45" s="224">
        <f>(400813/C45)*100</f>
        <v>6.9764288596171511</v>
      </c>
      <c r="R45" s="86">
        <f t="shared" si="1"/>
        <v>911068</v>
      </c>
      <c r="S45" s="75">
        <f t="shared" si="3"/>
        <v>0</v>
      </c>
      <c r="T45" s="9"/>
    </row>
    <row r="46" spans="2:20" x14ac:dyDescent="0.15">
      <c r="B46" s="76" t="s">
        <v>70</v>
      </c>
      <c r="C46" s="85">
        <v>5647589</v>
      </c>
      <c r="D46" s="85">
        <v>1509165</v>
      </c>
      <c r="E46" s="85">
        <v>554306</v>
      </c>
      <c r="F46" s="85">
        <v>45537</v>
      </c>
      <c r="G46" s="85">
        <v>302526</v>
      </c>
      <c r="H46" s="85">
        <v>843864</v>
      </c>
      <c r="I46" s="85">
        <v>413705</v>
      </c>
      <c r="J46" s="217" t="s">
        <v>27</v>
      </c>
      <c r="K46" s="85">
        <v>937642</v>
      </c>
      <c r="L46" s="85">
        <v>4606745</v>
      </c>
      <c r="M46" s="218">
        <f>L46/(C46+34200+285800)*100</f>
        <v>77.196083711529056</v>
      </c>
      <c r="N46" s="224">
        <f>(513549/C46)*100</f>
        <v>9.0932431520778163</v>
      </c>
      <c r="O46" s="224">
        <f>(89445/C46)*100</f>
        <v>1.5837731817949217</v>
      </c>
      <c r="P46" s="216" t="s">
        <v>27</v>
      </c>
      <c r="Q46" s="224">
        <f>(602994/C46)*100</f>
        <v>10.677016333872738</v>
      </c>
      <c r="R46" s="86">
        <f t="shared" si="1"/>
        <v>1040844</v>
      </c>
      <c r="S46" s="75">
        <f t="shared" si="3"/>
        <v>0</v>
      </c>
      <c r="T46" s="9"/>
    </row>
    <row r="47" spans="2:20" x14ac:dyDescent="0.15">
      <c r="B47" s="76" t="s">
        <v>71</v>
      </c>
      <c r="C47" s="85">
        <v>5553922</v>
      </c>
      <c r="D47" s="85">
        <v>1427573</v>
      </c>
      <c r="E47" s="85">
        <v>585166</v>
      </c>
      <c r="F47" s="85">
        <v>45823</v>
      </c>
      <c r="G47" s="85">
        <v>359137</v>
      </c>
      <c r="H47" s="85">
        <v>871526</v>
      </c>
      <c r="I47" s="85">
        <v>809909</v>
      </c>
      <c r="J47" s="217" t="s">
        <v>27</v>
      </c>
      <c r="K47" s="85">
        <v>942414</v>
      </c>
      <c r="L47" s="85">
        <v>5041548</v>
      </c>
      <c r="M47" s="218">
        <f>L47/(C47+259300)*100</f>
        <v>86.725537060170765</v>
      </c>
      <c r="N47" s="224">
        <f>(813118/C47)*100</f>
        <v>14.640428871705435</v>
      </c>
      <c r="O47" s="224">
        <f>(12748/C47)*100</f>
        <v>0.22953149143974294</v>
      </c>
      <c r="P47" s="216" t="s">
        <v>27</v>
      </c>
      <c r="Q47" s="224">
        <f>(825866/C47)*100</f>
        <v>14.869960363145179</v>
      </c>
      <c r="R47" s="86">
        <f t="shared" si="1"/>
        <v>512374</v>
      </c>
      <c r="S47" s="75">
        <f t="shared" si="3"/>
        <v>0</v>
      </c>
      <c r="T47" s="9"/>
    </row>
    <row r="48" spans="2:20" x14ac:dyDescent="0.15">
      <c r="B48" s="76" t="s">
        <v>131</v>
      </c>
      <c r="C48" s="85">
        <v>5741797</v>
      </c>
      <c r="D48" s="85">
        <v>1416572</v>
      </c>
      <c r="E48" s="85">
        <v>621146</v>
      </c>
      <c r="F48" s="85">
        <v>48674</v>
      </c>
      <c r="G48" s="85">
        <v>403674</v>
      </c>
      <c r="H48" s="85">
        <v>845792</v>
      </c>
      <c r="I48" s="85">
        <v>883301</v>
      </c>
      <c r="J48" s="217" t="s">
        <v>27</v>
      </c>
      <c r="K48" s="85">
        <v>919276</v>
      </c>
      <c r="L48" s="85">
        <v>5138435</v>
      </c>
      <c r="M48" s="218">
        <f>L48/C48*100</f>
        <v>89.491756674783176</v>
      </c>
      <c r="N48" s="224">
        <f>(533714/C48)*100</f>
        <v>9.2952432835922281</v>
      </c>
      <c r="O48" s="224">
        <f>(10858/C48)*100</f>
        <v>0.1891045608195483</v>
      </c>
      <c r="P48" s="216" t="s">
        <v>27</v>
      </c>
      <c r="Q48" s="224">
        <f>(544572/C48)*100</f>
        <v>9.4843478444117757</v>
      </c>
      <c r="R48" s="86">
        <f t="shared" si="1"/>
        <v>603362</v>
      </c>
      <c r="S48" s="75">
        <f t="shared" si="3"/>
        <v>0</v>
      </c>
      <c r="T48" s="9"/>
    </row>
    <row r="49" spans="2:20" x14ac:dyDescent="0.15">
      <c r="B49" s="76" t="s">
        <v>132</v>
      </c>
      <c r="C49" s="85">
        <v>5451599</v>
      </c>
      <c r="D49" s="85">
        <v>1421039</v>
      </c>
      <c r="E49" s="85">
        <v>599037</v>
      </c>
      <c r="F49" s="85">
        <v>39130</v>
      </c>
      <c r="G49" s="85">
        <v>414729</v>
      </c>
      <c r="H49" s="85">
        <v>827601</v>
      </c>
      <c r="I49" s="85">
        <v>901870</v>
      </c>
      <c r="J49" s="217" t="s">
        <v>27</v>
      </c>
      <c r="K49" s="85">
        <v>907918</v>
      </c>
      <c r="L49" s="85">
        <v>5111324</v>
      </c>
      <c r="M49" s="218">
        <v>87.2</v>
      </c>
      <c r="N49" s="224">
        <f>(488696/C49)*100</f>
        <v>8.9642690153842928</v>
      </c>
      <c r="O49" s="224">
        <f>(4490/C49)*100</f>
        <v>8.2361156790879159E-2</v>
      </c>
      <c r="P49" s="216" t="s">
        <v>27</v>
      </c>
      <c r="Q49" s="224">
        <f>(493186/C49)*100</f>
        <v>9.0466301721751723</v>
      </c>
      <c r="R49" s="86">
        <f t="shared" si="1"/>
        <v>340275</v>
      </c>
      <c r="S49" s="75">
        <f t="shared" si="3"/>
        <v>0</v>
      </c>
      <c r="T49" s="9"/>
    </row>
    <row r="50" spans="2:20" x14ac:dyDescent="0.15">
      <c r="B50" s="76" t="s">
        <v>161</v>
      </c>
      <c r="C50" s="85">
        <v>5600999</v>
      </c>
      <c r="D50" s="85">
        <v>1336538</v>
      </c>
      <c r="E50" s="85">
        <v>639058</v>
      </c>
      <c r="F50" s="85">
        <v>43815</v>
      </c>
      <c r="G50" s="85">
        <v>456334</v>
      </c>
      <c r="H50" s="85">
        <v>915772</v>
      </c>
      <c r="I50" s="85">
        <v>977920</v>
      </c>
      <c r="J50" s="217" t="s">
        <v>26</v>
      </c>
      <c r="K50" s="85">
        <v>906769</v>
      </c>
      <c r="L50" s="85">
        <v>5276206</v>
      </c>
      <c r="M50" s="218">
        <v>84.4</v>
      </c>
      <c r="N50" s="224">
        <f>(925275/C50)*100</f>
        <v>16.519820839103883</v>
      </c>
      <c r="O50" s="224">
        <f>(1433/C50)*100</f>
        <v>2.5584721582703373E-2</v>
      </c>
      <c r="P50" s="216" t="s">
        <v>26</v>
      </c>
      <c r="Q50" s="224">
        <f>(926708/C50)*100</f>
        <v>16.545405560686586</v>
      </c>
      <c r="R50" s="86">
        <f t="shared" si="1"/>
        <v>324793</v>
      </c>
      <c r="S50" s="75">
        <f t="shared" si="3"/>
        <v>0</v>
      </c>
      <c r="T50" s="9"/>
    </row>
    <row r="51" spans="2:20" x14ac:dyDescent="0.15">
      <c r="B51" s="76" t="s">
        <v>134</v>
      </c>
      <c r="C51" s="85">
        <v>5859025</v>
      </c>
      <c r="D51" s="85">
        <v>1328679</v>
      </c>
      <c r="E51" s="85">
        <v>687229</v>
      </c>
      <c r="F51" s="85">
        <v>40622</v>
      </c>
      <c r="G51" s="85">
        <v>473950</v>
      </c>
      <c r="H51" s="85">
        <v>907550</v>
      </c>
      <c r="I51" s="85">
        <v>1065918</v>
      </c>
      <c r="J51" s="217" t="s">
        <v>27</v>
      </c>
      <c r="K51" s="85">
        <v>900357</v>
      </c>
      <c r="L51" s="85">
        <v>5404305</v>
      </c>
      <c r="M51" s="218">
        <v>86.5</v>
      </c>
      <c r="N51" s="224">
        <f>(282830/C51)*100</f>
        <v>4.8272536812865621</v>
      </c>
      <c r="O51" s="224">
        <f>(12401/C51)*100</f>
        <v>0.21165637627420944</v>
      </c>
      <c r="P51" s="216" t="s">
        <v>27</v>
      </c>
      <c r="Q51" s="224">
        <f>(295231/C51)*100</f>
        <v>5.0389100575607717</v>
      </c>
      <c r="R51" s="86">
        <f>C51-L51</f>
        <v>454720</v>
      </c>
      <c r="S51" s="75">
        <f>SUM(D51:K51)-L51</f>
        <v>0</v>
      </c>
      <c r="T51" s="9"/>
    </row>
    <row r="52" spans="2:20" x14ac:dyDescent="0.15">
      <c r="B52" s="76" t="s">
        <v>78</v>
      </c>
      <c r="C52" s="85">
        <v>5770145</v>
      </c>
      <c r="D52" s="85">
        <v>1221252</v>
      </c>
      <c r="E52" s="85">
        <v>730711</v>
      </c>
      <c r="F52" s="85">
        <v>59556</v>
      </c>
      <c r="G52" s="85">
        <v>515403</v>
      </c>
      <c r="H52" s="85">
        <v>859963</v>
      </c>
      <c r="I52" s="85">
        <v>1158300</v>
      </c>
      <c r="J52" s="217" t="s">
        <v>26</v>
      </c>
      <c r="K52" s="85">
        <v>831009</v>
      </c>
      <c r="L52" s="85">
        <v>5376194</v>
      </c>
      <c r="M52" s="218">
        <v>84.8</v>
      </c>
      <c r="N52" s="224">
        <f>(546709/C52)*100</f>
        <v>9.4747878952781939</v>
      </c>
      <c r="O52" s="224">
        <f>(17271/C52)*100</f>
        <v>0.29931656830114323</v>
      </c>
      <c r="P52" s="216" t="s">
        <v>26</v>
      </c>
      <c r="Q52" s="224">
        <f>(563980/C52)*100</f>
        <v>9.7741044635793379</v>
      </c>
      <c r="R52" s="86">
        <f>C52-L52</f>
        <v>393951</v>
      </c>
      <c r="S52" s="75">
        <f>SUM(D52:K52)-L52</f>
        <v>0</v>
      </c>
      <c r="T52" s="9"/>
    </row>
    <row r="53" spans="2:20" x14ac:dyDescent="0.15">
      <c r="B53" s="76" t="s">
        <v>136</v>
      </c>
      <c r="C53" s="85">
        <v>5675810</v>
      </c>
      <c r="D53" s="85">
        <v>1219111</v>
      </c>
      <c r="E53" s="85">
        <v>727164</v>
      </c>
      <c r="F53" s="85">
        <v>56853</v>
      </c>
      <c r="G53" s="85">
        <v>545658</v>
      </c>
      <c r="H53" s="85">
        <v>1573933</v>
      </c>
      <c r="I53" s="85">
        <v>511662</v>
      </c>
      <c r="J53" s="217" t="s">
        <v>27</v>
      </c>
      <c r="K53" s="85">
        <v>807000</v>
      </c>
      <c r="L53" s="85">
        <v>5441381</v>
      </c>
      <c r="M53" s="218">
        <v>86.9</v>
      </c>
      <c r="N53" s="224">
        <f>(465440/C53)*100</f>
        <v>8.2004154473106041</v>
      </c>
      <c r="O53" s="224">
        <f>(13983/C53)*100</f>
        <v>0.24636131230608496</v>
      </c>
      <c r="P53" s="216" t="s">
        <v>27</v>
      </c>
      <c r="Q53" s="224">
        <f>(479423/C53)*100</f>
        <v>8.4467767596166894</v>
      </c>
      <c r="R53" s="86">
        <f t="shared" si="1"/>
        <v>234429</v>
      </c>
      <c r="S53" s="75">
        <f t="shared" si="3"/>
        <v>0</v>
      </c>
      <c r="T53" s="9"/>
    </row>
    <row r="54" spans="2:20" x14ac:dyDescent="0.15">
      <c r="B54" s="76" t="s">
        <v>137</v>
      </c>
      <c r="C54" s="85">
        <v>6027986</v>
      </c>
      <c r="D54" s="85">
        <v>1651558</v>
      </c>
      <c r="E54" s="85">
        <v>614683</v>
      </c>
      <c r="F54" s="85">
        <v>59016</v>
      </c>
      <c r="G54" s="85">
        <v>385633</v>
      </c>
      <c r="H54" s="85">
        <v>1585590</v>
      </c>
      <c r="I54" s="85">
        <v>500498</v>
      </c>
      <c r="J54" s="217" t="s">
        <v>27</v>
      </c>
      <c r="K54" s="85">
        <v>812846</v>
      </c>
      <c r="L54" s="85">
        <v>5609824</v>
      </c>
      <c r="M54" s="218">
        <v>85.1</v>
      </c>
      <c r="N54" s="224">
        <f>(565870/C54)*100</f>
        <v>9.3873807935187639</v>
      </c>
      <c r="O54" s="224">
        <f>(13673/C54)*100</f>
        <v>0.22682534431898152</v>
      </c>
      <c r="P54" s="216" t="s">
        <v>27</v>
      </c>
      <c r="Q54" s="224">
        <f>(579543/C54)*100</f>
        <v>9.6142061378377459</v>
      </c>
      <c r="R54" s="86">
        <f t="shared" si="1"/>
        <v>418162</v>
      </c>
      <c r="S54" s="75">
        <f t="shared" si="3"/>
        <v>0</v>
      </c>
      <c r="T54" s="9"/>
    </row>
    <row r="55" spans="2:20" x14ac:dyDescent="0.15">
      <c r="B55" s="76" t="s">
        <v>138</v>
      </c>
      <c r="C55" s="85">
        <v>6051802</v>
      </c>
      <c r="D55" s="85">
        <v>1678280</v>
      </c>
      <c r="E55" s="85">
        <v>634769</v>
      </c>
      <c r="F55" s="85">
        <v>57770</v>
      </c>
      <c r="G55" s="85">
        <v>360620</v>
      </c>
      <c r="H55" s="85">
        <v>1510540</v>
      </c>
      <c r="I55" s="85">
        <v>513278</v>
      </c>
      <c r="J55" s="217" t="s">
        <v>27</v>
      </c>
      <c r="K55" s="85">
        <v>855514</v>
      </c>
      <c r="L55" s="85">
        <v>5610771</v>
      </c>
      <c r="M55" s="218">
        <v>86.1</v>
      </c>
      <c r="N55" s="224">
        <f>(389420/C55)*100</f>
        <v>6.4347776083883774</v>
      </c>
      <c r="O55" s="224">
        <f>(1402/C55)*100</f>
        <v>2.316665350254354E-2</v>
      </c>
      <c r="P55" s="216" t="s">
        <v>27</v>
      </c>
      <c r="Q55" s="224">
        <f>(390822/C55)*100</f>
        <v>6.4579442618909217</v>
      </c>
      <c r="R55" s="86">
        <f t="shared" si="1"/>
        <v>441031</v>
      </c>
      <c r="S55" s="75">
        <f t="shared" si="3"/>
        <v>0</v>
      </c>
      <c r="T55" s="9"/>
    </row>
    <row r="56" spans="2:20" x14ac:dyDescent="0.15">
      <c r="B56" s="76" t="s">
        <v>139</v>
      </c>
      <c r="C56" s="85">
        <v>6004837</v>
      </c>
      <c r="D56" s="85">
        <v>1653669</v>
      </c>
      <c r="E56" s="85">
        <v>683608</v>
      </c>
      <c r="F56" s="85">
        <v>55501</v>
      </c>
      <c r="G56" s="85">
        <v>349890</v>
      </c>
      <c r="H56" s="85">
        <v>1642488</v>
      </c>
      <c r="I56" s="85">
        <v>496360</v>
      </c>
      <c r="J56" s="217" t="s">
        <v>27</v>
      </c>
      <c r="K56" s="85">
        <v>902699</v>
      </c>
      <c r="L56" s="85">
        <v>5784215</v>
      </c>
      <c r="M56" s="218">
        <v>90.2</v>
      </c>
      <c r="N56" s="224">
        <f>(313327/C56)*100</f>
        <v>5.2179101614248644</v>
      </c>
      <c r="O56" s="224">
        <f>(1089/C56)*100</f>
        <v>1.8135379861268508E-2</v>
      </c>
      <c r="P56" s="216" t="s">
        <v>27</v>
      </c>
      <c r="Q56" s="224">
        <f>(314416/C56)*100</f>
        <v>5.2360455412861331</v>
      </c>
      <c r="R56" s="86">
        <f t="shared" si="1"/>
        <v>220622</v>
      </c>
      <c r="S56" s="75">
        <f t="shared" si="3"/>
        <v>0</v>
      </c>
      <c r="T56" s="9"/>
    </row>
    <row r="57" spans="2:20" x14ac:dyDescent="0.15">
      <c r="B57" s="76" t="s">
        <v>140</v>
      </c>
      <c r="C57" s="85">
        <v>5979782</v>
      </c>
      <c r="D57" s="85">
        <v>1718976</v>
      </c>
      <c r="E57" s="85">
        <v>691933</v>
      </c>
      <c r="F57" s="85">
        <v>61475</v>
      </c>
      <c r="G57" s="85">
        <v>371309</v>
      </c>
      <c r="H57" s="85">
        <v>1503307</v>
      </c>
      <c r="I57" s="85">
        <v>535992</v>
      </c>
      <c r="J57" s="217" t="s">
        <v>27</v>
      </c>
      <c r="K57" s="85">
        <v>924623</v>
      </c>
      <c r="L57" s="85">
        <v>5807615</v>
      </c>
      <c r="M57" s="218">
        <v>90.7</v>
      </c>
      <c r="N57" s="224">
        <f>(388011/C57)*100</f>
        <v>6.4887148059912549</v>
      </c>
      <c r="O57" s="224">
        <f>(27398/C57)*100</f>
        <v>0.45817723789930803</v>
      </c>
      <c r="P57" s="216" t="s">
        <v>27</v>
      </c>
      <c r="Q57" s="224">
        <f>7</f>
        <v>7</v>
      </c>
      <c r="R57" s="86">
        <f>C57-L57</f>
        <v>172167</v>
      </c>
      <c r="S57" s="75">
        <f t="shared" si="3"/>
        <v>0</v>
      </c>
      <c r="T57" s="9"/>
    </row>
    <row r="58" spans="2:20" x14ac:dyDescent="0.15">
      <c r="B58" s="76" t="s">
        <v>141</v>
      </c>
      <c r="C58" s="85">
        <v>6107016</v>
      </c>
      <c r="D58" s="85">
        <v>1753679</v>
      </c>
      <c r="E58" s="85">
        <v>711086</v>
      </c>
      <c r="F58" s="85">
        <v>57852</v>
      </c>
      <c r="G58" s="85">
        <v>383071</v>
      </c>
      <c r="H58" s="85">
        <v>1484752</v>
      </c>
      <c r="I58" s="85">
        <v>588336</v>
      </c>
      <c r="J58" s="217" t="s">
        <v>27</v>
      </c>
      <c r="K58" s="85">
        <v>906356</v>
      </c>
      <c r="L58" s="85">
        <v>5885132</v>
      </c>
      <c r="M58" s="218">
        <v>90</v>
      </c>
      <c r="N58" s="224">
        <f>(401238/C58)*100</f>
        <v>6.5701154213448927</v>
      </c>
      <c r="O58" s="224">
        <f>(18831/C58)*100</f>
        <v>0.30835026467918214</v>
      </c>
      <c r="P58" s="216" t="s">
        <v>27</v>
      </c>
      <c r="Q58" s="224">
        <f>(420069/C58)*100</f>
        <v>6.8784656860240743</v>
      </c>
      <c r="R58" s="86">
        <f>C58-L58</f>
        <v>221884</v>
      </c>
      <c r="S58" s="75">
        <f t="shared" si="3"/>
        <v>0</v>
      </c>
      <c r="T58" s="9"/>
    </row>
    <row r="59" spans="2:20" x14ac:dyDescent="0.15">
      <c r="B59" s="76" t="s">
        <v>200</v>
      </c>
      <c r="C59" s="85">
        <v>6163007</v>
      </c>
      <c r="D59" s="85">
        <v>1828889</v>
      </c>
      <c r="E59" s="85">
        <v>742916</v>
      </c>
      <c r="F59" s="85">
        <v>58380</v>
      </c>
      <c r="G59" s="85">
        <v>415180</v>
      </c>
      <c r="H59" s="85">
        <v>1276957</v>
      </c>
      <c r="I59" s="85">
        <v>566196</v>
      </c>
      <c r="J59" s="217" t="s">
        <v>26</v>
      </c>
      <c r="K59" s="85">
        <v>871895</v>
      </c>
      <c r="L59" s="85">
        <v>5760413</v>
      </c>
      <c r="M59" s="218">
        <v>88.7</v>
      </c>
      <c r="N59" s="224">
        <f>(401944/C59)*100</f>
        <v>6.5218812829516501</v>
      </c>
      <c r="O59" s="224">
        <f>(14920/C59)*100</f>
        <v>0.24208961631878725</v>
      </c>
      <c r="P59" s="216" t="s">
        <v>26</v>
      </c>
      <c r="Q59" s="224">
        <f>(416864/C59)*100</f>
        <v>6.7639708992704373</v>
      </c>
      <c r="R59" s="86">
        <f>C59-L59</f>
        <v>402594</v>
      </c>
      <c r="S59" s="75">
        <f t="shared" si="3"/>
        <v>0</v>
      </c>
      <c r="T59" s="9"/>
    </row>
    <row r="60" spans="2:20" x14ac:dyDescent="0.15">
      <c r="B60" s="106" t="s">
        <v>201</v>
      </c>
      <c r="C60" s="109">
        <v>6457756</v>
      </c>
      <c r="D60" s="109">
        <v>1886337</v>
      </c>
      <c r="E60" s="109">
        <v>746384</v>
      </c>
      <c r="F60" s="109">
        <v>56414</v>
      </c>
      <c r="G60" s="109">
        <v>428196</v>
      </c>
      <c r="H60" s="109">
        <v>1235609</v>
      </c>
      <c r="I60" s="109">
        <v>613424</v>
      </c>
      <c r="J60" s="225" t="s">
        <v>26</v>
      </c>
      <c r="K60" s="109">
        <v>864040</v>
      </c>
      <c r="L60" s="109">
        <v>5830404</v>
      </c>
      <c r="M60" s="226">
        <v>85.2</v>
      </c>
      <c r="N60" s="227">
        <f>(429315/C59)*100</f>
        <v>6.9659989028083205</v>
      </c>
      <c r="O60" s="227">
        <f>(33169/C59)*100</f>
        <v>0.53819507263256394</v>
      </c>
      <c r="P60" s="228" t="s">
        <v>26</v>
      </c>
      <c r="Q60" s="227">
        <f>(462484/C59)*100</f>
        <v>7.5041939754408844</v>
      </c>
      <c r="R60" s="110">
        <f>C60-L60</f>
        <v>627352</v>
      </c>
      <c r="S60" s="75">
        <f t="shared" si="3"/>
        <v>0</v>
      </c>
      <c r="T60" s="9"/>
    </row>
    <row r="61" spans="2:20" x14ac:dyDescent="0.15">
      <c r="B61" s="106" t="s">
        <v>202</v>
      </c>
      <c r="C61" s="109">
        <v>6880124</v>
      </c>
      <c r="D61" s="109">
        <v>1906261</v>
      </c>
      <c r="E61" s="109">
        <v>784223</v>
      </c>
      <c r="F61" s="109">
        <v>54608</v>
      </c>
      <c r="G61" s="109">
        <v>425374</v>
      </c>
      <c r="H61" s="109">
        <v>1263647</v>
      </c>
      <c r="I61" s="109">
        <v>607788</v>
      </c>
      <c r="J61" s="225" t="s">
        <v>26</v>
      </c>
      <c r="K61" s="109">
        <v>911570</v>
      </c>
      <c r="L61" s="109">
        <v>5953471</v>
      </c>
      <c r="M61" s="226">
        <v>80.7</v>
      </c>
      <c r="N61" s="227">
        <v>9.1</v>
      </c>
      <c r="O61" s="227">
        <v>0.8</v>
      </c>
      <c r="P61" s="228" t="s">
        <v>26</v>
      </c>
      <c r="Q61" s="227">
        <v>9.9</v>
      </c>
      <c r="R61" s="110">
        <f>C61-L61</f>
        <v>926653</v>
      </c>
      <c r="S61" s="75">
        <f t="shared" si="3"/>
        <v>0</v>
      </c>
      <c r="T61" s="9"/>
    </row>
  </sheetData>
  <mergeCells count="2">
    <mergeCell ref="N2:Q2"/>
    <mergeCell ref="N3:Q3"/>
  </mergeCells>
  <phoneticPr fontId="3"/>
  <printOptions horizontalCentered="1"/>
  <pageMargins left="0.39370078740157483" right="0.39370078740157483" top="0.98425196850393704" bottom="0.78740157480314965" header="0.51181102362204722" footer="0.51181102362204722"/>
  <pageSetup paperSize="9" scale="90" fitToHeight="0" orientation="landscape" r:id="rId1"/>
  <headerFooter alignWithMargins="0">
    <oddFooter>&amp;P / &amp;N ページ</oddFooter>
  </headerFooter>
  <rowBreaks count="1" manualBreakCount="1">
    <brk id="46" min="1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1"/>
  <sheetViews>
    <sheetView view="pageBreakPreview" zoomScale="115" zoomScaleNormal="100" zoomScaleSheetLayoutView="115" workbookViewId="0">
      <pane xSplit="2" ySplit="4" topLeftCell="C5" activePane="bottomRight" state="frozen"/>
      <selection activeCell="M19" sqref="M19"/>
      <selection pane="topRight" activeCell="M19" sqref="M19"/>
      <selection pane="bottomLeft" activeCell="M19" sqref="M19"/>
      <selection pane="bottomRight" activeCell="B1" sqref="B1"/>
    </sheetView>
  </sheetViews>
  <sheetFormatPr defaultColWidth="9.375" defaultRowHeight="12" x14ac:dyDescent="0.15"/>
  <cols>
    <col min="1" max="1" width="2.375" style="2" customWidth="1"/>
    <col min="2" max="2" width="9.875" style="2" customWidth="1"/>
    <col min="3" max="10" width="9.375" style="2" customWidth="1"/>
    <col min="11" max="12" width="7.625" style="2" customWidth="1"/>
    <col min="13" max="13" width="9.375" style="2"/>
    <col min="14" max="15" width="7.625" style="2" customWidth="1"/>
    <col min="16" max="16384" width="9.375" style="2"/>
  </cols>
  <sheetData>
    <row r="1" spans="2:20" ht="20.45" customHeight="1" x14ac:dyDescent="0.15">
      <c r="B1" s="1" t="s">
        <v>203</v>
      </c>
    </row>
    <row r="2" spans="2:20" x14ac:dyDescent="0.15">
      <c r="B2" s="203"/>
      <c r="C2" s="229" t="s">
        <v>204</v>
      </c>
      <c r="D2" s="230"/>
      <c r="E2" s="229" t="s">
        <v>205</v>
      </c>
      <c r="F2" s="230"/>
      <c r="G2" s="229" t="s">
        <v>206</v>
      </c>
      <c r="H2" s="230"/>
      <c r="I2" s="229" t="s">
        <v>207</v>
      </c>
      <c r="J2" s="230"/>
      <c r="K2" s="229" t="s">
        <v>208</v>
      </c>
      <c r="L2" s="230"/>
      <c r="M2" s="231" t="s">
        <v>209</v>
      </c>
      <c r="N2" s="229" t="s">
        <v>210</v>
      </c>
      <c r="O2" s="230"/>
    </row>
    <row r="3" spans="2:20" x14ac:dyDescent="0.15">
      <c r="B3" s="206" t="s">
        <v>94</v>
      </c>
      <c r="C3" s="207"/>
      <c r="D3" s="209"/>
      <c r="E3" s="207"/>
      <c r="F3" s="209"/>
      <c r="G3" s="207"/>
      <c r="H3" s="209"/>
      <c r="I3" s="207"/>
      <c r="J3" s="209"/>
      <c r="K3" s="207"/>
      <c r="L3" s="209"/>
      <c r="M3" s="232"/>
      <c r="N3" s="207"/>
      <c r="O3" s="209"/>
    </row>
    <row r="4" spans="2:20" x14ac:dyDescent="0.15">
      <c r="B4" s="210"/>
      <c r="C4" s="211" t="s">
        <v>211</v>
      </c>
      <c r="D4" s="211" t="s">
        <v>212</v>
      </c>
      <c r="E4" s="211" t="s">
        <v>211</v>
      </c>
      <c r="F4" s="211" t="s">
        <v>212</v>
      </c>
      <c r="G4" s="211" t="s">
        <v>211</v>
      </c>
      <c r="H4" s="211" t="s">
        <v>212</v>
      </c>
      <c r="I4" s="211" t="s">
        <v>211</v>
      </c>
      <c r="J4" s="211" t="s">
        <v>212</v>
      </c>
      <c r="K4" s="210" t="s">
        <v>213</v>
      </c>
      <c r="L4" s="210" t="s">
        <v>214</v>
      </c>
      <c r="M4" s="233"/>
      <c r="N4" s="210" t="s">
        <v>215</v>
      </c>
      <c r="O4" s="210" t="s">
        <v>216</v>
      </c>
    </row>
    <row r="5" spans="2:20" x14ac:dyDescent="0.15">
      <c r="B5" s="234" t="s">
        <v>25</v>
      </c>
      <c r="C5" s="72">
        <v>118148</v>
      </c>
      <c r="D5" s="72">
        <v>120338</v>
      </c>
      <c r="E5" s="72">
        <v>40363</v>
      </c>
      <c r="F5" s="72">
        <v>40363</v>
      </c>
      <c r="G5" s="72">
        <v>77785</v>
      </c>
      <c r="H5" s="72">
        <v>79975</v>
      </c>
      <c r="I5" s="72">
        <v>77270</v>
      </c>
      <c r="J5" s="72">
        <v>79451</v>
      </c>
      <c r="K5" s="235">
        <v>0.33500000000000002</v>
      </c>
      <c r="L5" s="235">
        <v>0.32</v>
      </c>
      <c r="M5" s="72">
        <v>5575</v>
      </c>
      <c r="N5" s="236">
        <v>44</v>
      </c>
      <c r="O5" s="236">
        <v>5</v>
      </c>
      <c r="P5" s="9"/>
      <c r="Q5" s="9"/>
      <c r="R5" s="9"/>
      <c r="S5" s="9"/>
      <c r="T5" s="9"/>
    </row>
    <row r="6" spans="2:20" x14ac:dyDescent="0.15">
      <c r="B6" s="237" t="s">
        <v>28</v>
      </c>
      <c r="C6" s="77">
        <v>136035</v>
      </c>
      <c r="D6" s="77">
        <v>138545</v>
      </c>
      <c r="E6" s="77">
        <v>46920</v>
      </c>
      <c r="F6" s="77">
        <v>47565</v>
      </c>
      <c r="G6" s="77">
        <v>89115</v>
      </c>
      <c r="H6" s="77">
        <v>90980</v>
      </c>
      <c r="I6" s="77">
        <v>88420</v>
      </c>
      <c r="J6" s="77">
        <v>90980</v>
      </c>
      <c r="K6" s="238">
        <v>0.34300000000000003</v>
      </c>
      <c r="L6" s="238">
        <v>0.33300000000000002</v>
      </c>
      <c r="M6" s="77">
        <v>5413</v>
      </c>
      <c r="N6" s="125">
        <v>44</v>
      </c>
      <c r="O6" s="125">
        <v>5</v>
      </c>
      <c r="P6" s="9"/>
      <c r="Q6" s="9"/>
      <c r="R6" s="9"/>
      <c r="S6" s="9"/>
      <c r="T6" s="9"/>
    </row>
    <row r="7" spans="2:20" x14ac:dyDescent="0.15">
      <c r="B7" s="237" t="s">
        <v>29</v>
      </c>
      <c r="C7" s="77">
        <v>159408</v>
      </c>
      <c r="D7" s="77">
        <v>163291</v>
      </c>
      <c r="E7" s="77">
        <v>54504</v>
      </c>
      <c r="F7" s="77">
        <v>54894</v>
      </c>
      <c r="G7" s="77">
        <v>104504</v>
      </c>
      <c r="H7" s="77">
        <v>108397</v>
      </c>
      <c r="I7" s="77">
        <v>104223</v>
      </c>
      <c r="J7" s="77">
        <v>108397</v>
      </c>
      <c r="K7" s="238">
        <v>0.33600000000000002</v>
      </c>
      <c r="L7" s="238">
        <v>0.33800000000000002</v>
      </c>
      <c r="M7" s="77">
        <v>1</v>
      </c>
      <c r="N7" s="125">
        <v>36</v>
      </c>
      <c r="O7" s="125">
        <v>4</v>
      </c>
      <c r="P7" s="9"/>
      <c r="Q7" s="9"/>
      <c r="R7" s="9"/>
      <c r="S7" s="9"/>
      <c r="T7" s="9"/>
    </row>
    <row r="8" spans="2:20" x14ac:dyDescent="0.15">
      <c r="B8" s="237" t="s">
        <v>30</v>
      </c>
      <c r="C8" s="77">
        <v>197527</v>
      </c>
      <c r="D8" s="77"/>
      <c r="E8" s="77">
        <v>71548</v>
      </c>
      <c r="F8" s="77"/>
      <c r="G8" s="77">
        <v>125979</v>
      </c>
      <c r="H8" s="77"/>
      <c r="I8" s="77">
        <v>125979</v>
      </c>
      <c r="J8" s="77"/>
      <c r="K8" s="238">
        <v>0.36699999999999999</v>
      </c>
      <c r="L8" s="238">
        <v>0.34899999999999998</v>
      </c>
      <c r="M8" s="77">
        <v>3</v>
      </c>
      <c r="N8" s="125">
        <v>31</v>
      </c>
      <c r="O8" s="125">
        <v>4</v>
      </c>
      <c r="P8" s="9"/>
      <c r="Q8" s="9"/>
      <c r="R8" s="9"/>
      <c r="S8" s="9"/>
      <c r="T8" s="9"/>
    </row>
    <row r="9" spans="2:20" x14ac:dyDescent="0.15">
      <c r="B9" s="237" t="s">
        <v>31</v>
      </c>
      <c r="C9" s="77">
        <v>244485</v>
      </c>
      <c r="D9" s="77">
        <v>246518</v>
      </c>
      <c r="E9" s="77">
        <v>79284</v>
      </c>
      <c r="F9" s="77">
        <v>79513</v>
      </c>
      <c r="G9" s="77">
        <v>165201</v>
      </c>
      <c r="H9" s="77">
        <v>167005</v>
      </c>
      <c r="I9" s="77">
        <v>164336</v>
      </c>
      <c r="J9" s="77">
        <v>167005</v>
      </c>
      <c r="K9" s="238">
        <v>0.32400000000000001</v>
      </c>
      <c r="L9" s="238">
        <v>0.34200000000000003</v>
      </c>
      <c r="M9" s="77">
        <v>5</v>
      </c>
      <c r="N9" s="125">
        <v>33</v>
      </c>
      <c r="O9" s="125">
        <v>4</v>
      </c>
      <c r="P9" s="9"/>
      <c r="Q9" s="9"/>
      <c r="R9" s="9"/>
      <c r="S9" s="9"/>
      <c r="T9" s="9"/>
    </row>
    <row r="10" spans="2:20" x14ac:dyDescent="0.15">
      <c r="B10" s="237" t="s">
        <v>32</v>
      </c>
      <c r="C10" s="77">
        <v>303289</v>
      </c>
      <c r="D10" s="77">
        <v>308822</v>
      </c>
      <c r="E10" s="77">
        <v>98446</v>
      </c>
      <c r="F10" s="77">
        <v>98240</v>
      </c>
      <c r="G10" s="77">
        <v>204843</v>
      </c>
      <c r="H10" s="77">
        <v>210582</v>
      </c>
      <c r="I10" s="77">
        <v>204012</v>
      </c>
      <c r="J10" s="77">
        <v>210582</v>
      </c>
      <c r="K10" s="238">
        <v>0.318</v>
      </c>
      <c r="L10" s="238">
        <v>0.33600000000000002</v>
      </c>
      <c r="M10" s="77">
        <v>7</v>
      </c>
      <c r="N10" s="125">
        <v>29</v>
      </c>
      <c r="O10" s="125">
        <v>3</v>
      </c>
      <c r="P10" s="9"/>
      <c r="Q10" s="9"/>
      <c r="R10" s="9"/>
      <c r="S10" s="9"/>
      <c r="T10" s="9"/>
    </row>
    <row r="11" spans="2:20" x14ac:dyDescent="0.15">
      <c r="B11" s="237" t="s">
        <v>33</v>
      </c>
      <c r="C11" s="77">
        <v>401737</v>
      </c>
      <c r="D11" s="77">
        <v>406358</v>
      </c>
      <c r="E11" s="77">
        <v>128846</v>
      </c>
      <c r="F11" s="77">
        <v>128846</v>
      </c>
      <c r="G11" s="77">
        <v>272891</v>
      </c>
      <c r="H11" s="77">
        <v>277512</v>
      </c>
      <c r="I11" s="77"/>
      <c r="J11" s="77">
        <v>276283</v>
      </c>
      <c r="K11" s="238">
        <v>0.317</v>
      </c>
      <c r="L11" s="238">
        <v>0.32</v>
      </c>
      <c r="M11" s="77">
        <v>9</v>
      </c>
      <c r="N11" s="125">
        <v>27</v>
      </c>
      <c r="O11" s="125">
        <v>3</v>
      </c>
      <c r="P11" s="9"/>
      <c r="Q11" s="9"/>
      <c r="R11" s="9"/>
      <c r="S11" s="9"/>
      <c r="T11" s="9"/>
    </row>
    <row r="12" spans="2:20" x14ac:dyDescent="0.15">
      <c r="B12" s="237" t="s">
        <v>34</v>
      </c>
      <c r="C12" s="77">
        <v>461491</v>
      </c>
      <c r="D12" s="77">
        <v>465001</v>
      </c>
      <c r="E12" s="77">
        <v>145941</v>
      </c>
      <c r="F12" s="77">
        <v>146559</v>
      </c>
      <c r="G12" s="77">
        <v>315550</v>
      </c>
      <c r="H12" s="77">
        <v>318442</v>
      </c>
      <c r="I12" s="77"/>
      <c r="J12" s="77">
        <v>318442</v>
      </c>
      <c r="K12" s="238">
        <v>0.317</v>
      </c>
      <c r="L12" s="238">
        <v>0.317</v>
      </c>
      <c r="M12" s="77">
        <v>11</v>
      </c>
      <c r="N12" s="125">
        <v>28</v>
      </c>
      <c r="O12" s="125">
        <v>3</v>
      </c>
      <c r="P12" s="9"/>
      <c r="Q12" s="9"/>
      <c r="R12" s="9"/>
      <c r="S12" s="9"/>
      <c r="T12" s="9"/>
    </row>
    <row r="13" spans="2:20" x14ac:dyDescent="0.15">
      <c r="B13" s="237" t="s">
        <v>35</v>
      </c>
      <c r="C13" s="77">
        <v>544199</v>
      </c>
      <c r="D13" s="77">
        <v>571692</v>
      </c>
      <c r="E13" s="77">
        <v>176024</v>
      </c>
      <c r="F13" s="77">
        <v>178427</v>
      </c>
      <c r="G13" s="77">
        <v>368175</v>
      </c>
      <c r="H13" s="77">
        <v>393265</v>
      </c>
      <c r="I13" s="77">
        <v>367369</v>
      </c>
      <c r="J13" s="77">
        <v>393265</v>
      </c>
      <c r="K13" s="238">
        <v>0.313</v>
      </c>
      <c r="L13" s="238">
        <v>0.316</v>
      </c>
      <c r="M13" s="77">
        <v>13</v>
      </c>
      <c r="N13" s="125">
        <v>27</v>
      </c>
      <c r="O13" s="125">
        <v>3</v>
      </c>
      <c r="P13" s="9"/>
      <c r="Q13" s="9"/>
      <c r="R13" s="9"/>
      <c r="S13" s="9"/>
      <c r="T13" s="9"/>
    </row>
    <row r="14" spans="2:20" x14ac:dyDescent="0.15">
      <c r="B14" s="237" t="s">
        <v>36</v>
      </c>
      <c r="C14" s="77">
        <v>678819</v>
      </c>
      <c r="D14" s="77">
        <v>744773</v>
      </c>
      <c r="E14" s="77">
        <v>253102</v>
      </c>
      <c r="F14" s="77">
        <v>260784</v>
      </c>
      <c r="G14" s="77">
        <v>425717</v>
      </c>
      <c r="H14" s="77">
        <v>483989</v>
      </c>
      <c r="I14" s="77">
        <v>424812</v>
      </c>
      <c r="J14" s="77">
        <v>483989</v>
      </c>
      <c r="K14" s="238">
        <v>0.35099999999999998</v>
      </c>
      <c r="L14" s="238">
        <v>0.32700000000000001</v>
      </c>
      <c r="M14" s="77">
        <v>15</v>
      </c>
      <c r="N14" s="125">
        <v>22</v>
      </c>
      <c r="O14" s="125">
        <v>2</v>
      </c>
      <c r="P14" s="9"/>
      <c r="Q14" s="9"/>
      <c r="R14" s="9"/>
      <c r="S14" s="9"/>
      <c r="T14" s="9"/>
    </row>
    <row r="15" spans="2:20" x14ac:dyDescent="0.15">
      <c r="B15" s="237" t="s">
        <v>37</v>
      </c>
      <c r="C15" s="77">
        <v>812071</v>
      </c>
      <c r="D15" s="77">
        <v>815527</v>
      </c>
      <c r="E15" s="77">
        <v>360239</v>
      </c>
      <c r="F15" s="77">
        <v>360239</v>
      </c>
      <c r="G15" s="77">
        <v>451832</v>
      </c>
      <c r="H15" s="77">
        <v>455288</v>
      </c>
      <c r="I15" s="77">
        <v>450808</v>
      </c>
      <c r="J15" s="77">
        <v>454400</v>
      </c>
      <c r="K15" s="238">
        <v>0.443</v>
      </c>
      <c r="L15" s="238">
        <v>0.36899999999999999</v>
      </c>
      <c r="M15" s="77">
        <v>16</v>
      </c>
      <c r="N15" s="125">
        <v>20</v>
      </c>
      <c r="O15" s="125">
        <v>2</v>
      </c>
      <c r="P15" s="9"/>
      <c r="Q15" s="9"/>
      <c r="R15" s="9"/>
      <c r="S15" s="9"/>
      <c r="T15" s="9"/>
    </row>
    <row r="16" spans="2:20" x14ac:dyDescent="0.15">
      <c r="B16" s="237" t="s">
        <v>38</v>
      </c>
      <c r="C16" s="77">
        <v>944013</v>
      </c>
      <c r="D16" s="77"/>
      <c r="E16" s="77">
        <v>422806</v>
      </c>
      <c r="F16" s="77"/>
      <c r="G16" s="77">
        <v>521207</v>
      </c>
      <c r="H16" s="77"/>
      <c r="I16" s="77">
        <v>520548</v>
      </c>
      <c r="J16" s="77"/>
      <c r="K16" s="238">
        <v>0.44800000000000001</v>
      </c>
      <c r="L16" s="238">
        <v>0.41399999999999998</v>
      </c>
      <c r="M16" s="77">
        <v>17</v>
      </c>
      <c r="N16" s="125">
        <v>16</v>
      </c>
      <c r="O16" s="125">
        <v>2</v>
      </c>
      <c r="P16" s="9"/>
      <c r="Q16" s="9"/>
      <c r="R16" s="9"/>
      <c r="S16" s="9"/>
      <c r="T16" s="9"/>
    </row>
    <row r="17" spans="2:20" x14ac:dyDescent="0.15">
      <c r="B17" s="237" t="s">
        <v>39</v>
      </c>
      <c r="C17" s="77">
        <v>1071561</v>
      </c>
      <c r="D17" s="77"/>
      <c r="E17" s="77">
        <v>467215</v>
      </c>
      <c r="F17" s="77"/>
      <c r="G17" s="77">
        <v>603346</v>
      </c>
      <c r="H17" s="77"/>
      <c r="I17" s="77">
        <v>601818</v>
      </c>
      <c r="J17" s="77"/>
      <c r="K17" s="238">
        <v>0.436</v>
      </c>
      <c r="L17" s="238">
        <v>0.442</v>
      </c>
      <c r="M17" s="77">
        <v>19</v>
      </c>
      <c r="N17" s="125">
        <v>14</v>
      </c>
      <c r="O17" s="125">
        <v>2</v>
      </c>
      <c r="P17" s="9"/>
      <c r="Q17" s="9"/>
      <c r="R17" s="9"/>
      <c r="S17" s="9"/>
      <c r="T17" s="9"/>
    </row>
    <row r="18" spans="2:20" x14ac:dyDescent="0.15">
      <c r="B18" s="237" t="s">
        <v>40</v>
      </c>
      <c r="C18" s="77">
        <v>1246317</v>
      </c>
      <c r="D18" s="77"/>
      <c r="E18" s="77">
        <v>630212</v>
      </c>
      <c r="F18" s="77"/>
      <c r="G18" s="77">
        <v>616105</v>
      </c>
      <c r="H18" s="77"/>
      <c r="I18" s="77">
        <v>614773</v>
      </c>
      <c r="J18" s="77"/>
      <c r="K18" s="238">
        <v>0.50600000000000001</v>
      </c>
      <c r="L18" s="238">
        <v>0.46300000000000002</v>
      </c>
      <c r="M18" s="77">
        <v>21</v>
      </c>
      <c r="N18" s="125">
        <v>11</v>
      </c>
      <c r="O18" s="125">
        <v>1</v>
      </c>
      <c r="P18" s="9"/>
      <c r="Q18" s="9"/>
      <c r="R18" s="9"/>
      <c r="S18" s="9"/>
      <c r="T18" s="9"/>
    </row>
    <row r="19" spans="2:20" x14ac:dyDescent="0.15">
      <c r="B19" s="237" t="s">
        <v>41</v>
      </c>
      <c r="C19" s="77">
        <v>1385460</v>
      </c>
      <c r="D19" s="77"/>
      <c r="E19" s="77">
        <v>762323</v>
      </c>
      <c r="F19" s="77"/>
      <c r="G19" s="77">
        <v>623137</v>
      </c>
      <c r="H19" s="77"/>
      <c r="I19" s="77">
        <v>623137</v>
      </c>
      <c r="J19" s="77"/>
      <c r="K19" s="238">
        <v>0.55100000000000005</v>
      </c>
      <c r="L19" s="238">
        <v>0.498</v>
      </c>
      <c r="M19" s="77">
        <v>69381</v>
      </c>
      <c r="N19" s="125">
        <v>11</v>
      </c>
      <c r="O19" s="125">
        <v>1</v>
      </c>
      <c r="P19" s="9"/>
      <c r="Q19" s="9"/>
      <c r="R19" s="9"/>
      <c r="S19" s="9"/>
      <c r="T19" s="9"/>
    </row>
    <row r="20" spans="2:20" x14ac:dyDescent="0.15">
      <c r="B20" s="237" t="s">
        <v>42</v>
      </c>
      <c r="C20" s="77">
        <v>1501428</v>
      </c>
      <c r="D20" s="77"/>
      <c r="E20" s="77">
        <v>798374</v>
      </c>
      <c r="F20" s="77"/>
      <c r="G20" s="77">
        <v>703054</v>
      </c>
      <c r="H20" s="77"/>
      <c r="I20" s="77">
        <v>703054</v>
      </c>
      <c r="J20" s="77"/>
      <c r="K20" s="238">
        <v>0.53200000000000003</v>
      </c>
      <c r="L20" s="238">
        <v>0.53</v>
      </c>
      <c r="M20" s="77">
        <v>71754</v>
      </c>
      <c r="N20" s="125">
        <v>11</v>
      </c>
      <c r="O20" s="125">
        <v>1</v>
      </c>
      <c r="P20" s="9"/>
      <c r="Q20" s="9"/>
      <c r="R20" s="9"/>
      <c r="S20" s="9"/>
      <c r="T20" s="9"/>
    </row>
    <row r="21" spans="2:20" x14ac:dyDescent="0.15">
      <c r="B21" s="76" t="s">
        <v>43</v>
      </c>
      <c r="C21" s="77">
        <v>1734425</v>
      </c>
      <c r="D21" s="77"/>
      <c r="E21" s="77">
        <v>839839</v>
      </c>
      <c r="F21" s="77"/>
      <c r="G21" s="77">
        <v>894586</v>
      </c>
      <c r="H21" s="77"/>
      <c r="I21" s="77">
        <v>893479</v>
      </c>
      <c r="J21" s="77"/>
      <c r="K21" s="238">
        <v>0.48399999999999999</v>
      </c>
      <c r="L21" s="238">
        <v>0.52200000000000002</v>
      </c>
      <c r="M21" s="77">
        <v>73208</v>
      </c>
      <c r="N21" s="125">
        <v>11</v>
      </c>
      <c r="O21" s="239">
        <v>1</v>
      </c>
      <c r="P21" s="9"/>
      <c r="Q21" s="9"/>
      <c r="R21" s="9"/>
      <c r="S21" s="9"/>
      <c r="T21" s="9"/>
    </row>
    <row r="22" spans="2:20" x14ac:dyDescent="0.15">
      <c r="B22" s="76" t="s">
        <v>44</v>
      </c>
      <c r="C22" s="77">
        <v>1929905</v>
      </c>
      <c r="D22" s="77">
        <v>1914284</v>
      </c>
      <c r="E22" s="77">
        <v>1165134</v>
      </c>
      <c r="F22" s="77">
        <v>1165134</v>
      </c>
      <c r="G22" s="77">
        <v>764771</v>
      </c>
      <c r="H22" s="77">
        <v>749150</v>
      </c>
      <c r="I22" s="77">
        <v>763594</v>
      </c>
      <c r="J22" s="77">
        <v>749150</v>
      </c>
      <c r="K22" s="238">
        <v>0.60899999999999999</v>
      </c>
      <c r="L22" s="238">
        <v>0.54200000000000004</v>
      </c>
      <c r="M22" s="77">
        <v>75571</v>
      </c>
      <c r="N22" s="125">
        <v>9</v>
      </c>
      <c r="O22" s="239">
        <v>1</v>
      </c>
      <c r="P22" s="9"/>
      <c r="Q22" s="9"/>
      <c r="R22" s="9"/>
      <c r="S22" s="9"/>
      <c r="T22" s="9"/>
    </row>
    <row r="23" spans="2:20" x14ac:dyDescent="0.15">
      <c r="B23" s="76" t="s">
        <v>45</v>
      </c>
      <c r="C23" s="77">
        <v>2024788</v>
      </c>
      <c r="D23" s="77"/>
      <c r="E23" s="77">
        <v>1209703</v>
      </c>
      <c r="F23" s="77"/>
      <c r="G23" s="77">
        <v>815085</v>
      </c>
      <c r="H23" s="77"/>
      <c r="I23" s="77">
        <v>812503</v>
      </c>
      <c r="J23" s="77"/>
      <c r="K23" s="238">
        <v>0.59699999999999998</v>
      </c>
      <c r="L23" s="238">
        <v>0.56299999999999994</v>
      </c>
      <c r="M23" s="77">
        <v>45039</v>
      </c>
      <c r="N23" s="125">
        <v>7</v>
      </c>
      <c r="O23" s="239">
        <v>1</v>
      </c>
      <c r="P23" s="9"/>
      <c r="Q23" s="9"/>
      <c r="R23" s="9"/>
      <c r="S23" s="9"/>
      <c r="T23" s="9"/>
    </row>
    <row r="24" spans="2:20" x14ac:dyDescent="0.15">
      <c r="B24" s="76" t="s">
        <v>46</v>
      </c>
      <c r="C24" s="77">
        <v>2013335</v>
      </c>
      <c r="D24" s="77"/>
      <c r="E24" s="77">
        <v>1313076</v>
      </c>
      <c r="F24" s="77"/>
      <c r="G24" s="77">
        <v>700259</v>
      </c>
      <c r="H24" s="77"/>
      <c r="I24" s="77">
        <v>700259</v>
      </c>
      <c r="J24" s="77"/>
      <c r="K24" s="238">
        <v>0.65100000000000002</v>
      </c>
      <c r="L24" s="238">
        <v>0.61899999999999999</v>
      </c>
      <c r="M24" s="77">
        <v>56770</v>
      </c>
      <c r="N24" s="125">
        <v>7</v>
      </c>
      <c r="O24" s="239">
        <v>1</v>
      </c>
      <c r="P24" s="9"/>
      <c r="Q24" s="9"/>
      <c r="R24" s="9"/>
      <c r="S24" s="9"/>
      <c r="T24" s="9"/>
    </row>
    <row r="25" spans="2:20" x14ac:dyDescent="0.15">
      <c r="B25" s="76" t="s">
        <v>47</v>
      </c>
      <c r="C25" s="77">
        <v>2194556</v>
      </c>
      <c r="D25" s="77"/>
      <c r="E25" s="77">
        <v>1596964</v>
      </c>
      <c r="F25" s="77"/>
      <c r="G25" s="77">
        <v>597592</v>
      </c>
      <c r="H25" s="77"/>
      <c r="I25" s="77">
        <v>594521</v>
      </c>
      <c r="J25" s="77"/>
      <c r="K25" s="238">
        <v>0.72799999999999998</v>
      </c>
      <c r="L25" s="238">
        <v>0.65900000000000003</v>
      </c>
      <c r="M25" s="77">
        <v>65999</v>
      </c>
      <c r="N25" s="125">
        <v>7</v>
      </c>
      <c r="O25" s="239">
        <v>1</v>
      </c>
      <c r="P25" s="9"/>
      <c r="Q25" s="9"/>
      <c r="R25" s="9"/>
      <c r="S25" s="9"/>
      <c r="T25" s="9"/>
    </row>
    <row r="26" spans="2:20" x14ac:dyDescent="0.15">
      <c r="B26" s="76" t="s">
        <v>48</v>
      </c>
      <c r="C26" s="77">
        <v>2353162</v>
      </c>
      <c r="D26" s="77"/>
      <c r="E26" s="77">
        <v>1720901</v>
      </c>
      <c r="F26" s="77"/>
      <c r="G26" s="77">
        <v>623261</v>
      </c>
      <c r="H26" s="77"/>
      <c r="I26" s="77">
        <v>628729</v>
      </c>
      <c r="J26" s="77"/>
      <c r="K26" s="238">
        <v>0.73099999999999998</v>
      </c>
      <c r="L26" s="238">
        <v>0.70299999999999996</v>
      </c>
      <c r="M26" s="77">
        <v>66690</v>
      </c>
      <c r="N26" s="125">
        <v>7</v>
      </c>
      <c r="O26" s="239">
        <v>1</v>
      </c>
      <c r="P26" s="9"/>
      <c r="Q26" s="9"/>
      <c r="R26" s="9"/>
      <c r="S26" s="9"/>
      <c r="T26" s="9"/>
    </row>
    <row r="27" spans="2:20" x14ac:dyDescent="0.15">
      <c r="B27" s="76" t="s">
        <v>49</v>
      </c>
      <c r="C27" s="77">
        <v>2420924</v>
      </c>
      <c r="D27" s="77"/>
      <c r="E27" s="77">
        <v>1668589</v>
      </c>
      <c r="F27" s="77"/>
      <c r="G27" s="77">
        <v>752335</v>
      </c>
      <c r="H27" s="77"/>
      <c r="I27" s="77">
        <v>752335</v>
      </c>
      <c r="J27" s="77"/>
      <c r="K27" s="238">
        <v>0.68899999999999995</v>
      </c>
      <c r="L27" s="238">
        <v>0.71599999999999997</v>
      </c>
      <c r="M27" s="77">
        <v>69011</v>
      </c>
      <c r="N27" s="125">
        <v>7</v>
      </c>
      <c r="O27" s="239">
        <v>2</v>
      </c>
      <c r="P27" s="9"/>
      <c r="Q27" s="9"/>
      <c r="R27" s="9"/>
      <c r="S27" s="9"/>
      <c r="T27" s="9"/>
    </row>
    <row r="28" spans="2:20" x14ac:dyDescent="0.15">
      <c r="B28" s="76" t="s">
        <v>50</v>
      </c>
      <c r="C28" s="77">
        <v>2634619</v>
      </c>
      <c r="D28" s="77"/>
      <c r="E28" s="77">
        <v>1663974</v>
      </c>
      <c r="F28" s="77"/>
      <c r="G28" s="77">
        <v>970645</v>
      </c>
      <c r="H28" s="77"/>
      <c r="I28" s="77">
        <v>971213</v>
      </c>
      <c r="J28" s="77"/>
      <c r="K28" s="238">
        <v>0.63200000000000001</v>
      </c>
      <c r="L28" s="238">
        <v>0.68400000000000005</v>
      </c>
      <c r="M28" s="77">
        <v>77338</v>
      </c>
      <c r="N28" s="125">
        <v>7</v>
      </c>
      <c r="O28" s="239">
        <v>1</v>
      </c>
      <c r="P28" s="9"/>
      <c r="Q28" s="9"/>
      <c r="R28" s="9"/>
      <c r="S28" s="9"/>
      <c r="T28" s="9"/>
    </row>
    <row r="29" spans="2:20" x14ac:dyDescent="0.15">
      <c r="B29" s="76" t="s">
        <v>51</v>
      </c>
      <c r="C29" s="77">
        <v>3031578</v>
      </c>
      <c r="D29" s="77"/>
      <c r="E29" s="77">
        <v>1869782</v>
      </c>
      <c r="F29" s="77"/>
      <c r="G29" s="77">
        <v>1161796</v>
      </c>
      <c r="H29" s="77"/>
      <c r="I29" s="77">
        <v>1161796</v>
      </c>
      <c r="J29" s="77"/>
      <c r="K29" s="240">
        <f>E29/C29</f>
        <v>0.61676856079573084</v>
      </c>
      <c r="L29" s="125">
        <v>0.64600000000000002</v>
      </c>
      <c r="M29" s="77">
        <v>85985</v>
      </c>
      <c r="N29" s="77">
        <v>8</v>
      </c>
      <c r="O29" s="79">
        <v>1</v>
      </c>
      <c r="P29" s="9"/>
      <c r="Q29" s="9"/>
      <c r="R29" s="9"/>
      <c r="S29" s="9"/>
      <c r="T29" s="9"/>
    </row>
    <row r="30" spans="2:20" x14ac:dyDescent="0.15">
      <c r="B30" s="76" t="s">
        <v>53</v>
      </c>
      <c r="C30" s="77">
        <v>3228497</v>
      </c>
      <c r="D30" s="77">
        <v>3268322</v>
      </c>
      <c r="E30" s="77">
        <v>2104452</v>
      </c>
      <c r="F30" s="77">
        <v>2089511</v>
      </c>
      <c r="G30" s="77">
        <v>1124045</v>
      </c>
      <c r="H30" s="77">
        <v>1178811</v>
      </c>
      <c r="I30" s="77">
        <v>1118041</v>
      </c>
      <c r="J30" s="77">
        <v>1178811</v>
      </c>
      <c r="K30" s="240">
        <f>E30/C30</f>
        <v>0.65183644277817199</v>
      </c>
      <c r="L30" s="125">
        <v>0.629</v>
      </c>
      <c r="M30" s="77">
        <v>93217</v>
      </c>
      <c r="N30" s="77">
        <v>8</v>
      </c>
      <c r="O30" s="79">
        <v>1</v>
      </c>
      <c r="P30" s="9"/>
      <c r="Q30" s="9"/>
      <c r="R30" s="9"/>
      <c r="S30" s="9"/>
      <c r="T30" s="9"/>
    </row>
    <row r="31" spans="2:20" x14ac:dyDescent="0.15">
      <c r="B31" s="76" t="s">
        <v>54</v>
      </c>
      <c r="C31" s="77">
        <v>3722936</v>
      </c>
      <c r="D31" s="77">
        <v>3722936</v>
      </c>
      <c r="E31" s="77">
        <v>2279490</v>
      </c>
      <c r="F31" s="77">
        <v>2279490</v>
      </c>
      <c r="G31" s="77">
        <v>1443446</v>
      </c>
      <c r="H31" s="77">
        <v>1443446</v>
      </c>
      <c r="I31" s="77">
        <v>1435307</v>
      </c>
      <c r="J31" s="77">
        <v>1435319</v>
      </c>
      <c r="K31" s="240">
        <f>E31/C31</f>
        <v>0.61228288641008066</v>
      </c>
      <c r="L31" s="125">
        <v>0.623</v>
      </c>
      <c r="M31" s="77">
        <v>102323</v>
      </c>
      <c r="N31" s="77">
        <v>8</v>
      </c>
      <c r="O31" s="79">
        <v>1</v>
      </c>
      <c r="P31" s="9"/>
      <c r="Q31" s="9"/>
      <c r="R31" s="9"/>
      <c r="S31" s="9"/>
      <c r="T31" s="9"/>
    </row>
    <row r="32" spans="2:20" x14ac:dyDescent="0.15">
      <c r="B32" s="76" t="s">
        <v>55</v>
      </c>
      <c r="C32" s="77">
        <v>4387726</v>
      </c>
      <c r="D32" s="77"/>
      <c r="E32" s="77">
        <v>2418810</v>
      </c>
      <c r="F32" s="77"/>
      <c r="G32" s="77">
        <v>1968916</v>
      </c>
      <c r="H32" s="77"/>
      <c r="I32" s="77">
        <v>1960507</v>
      </c>
      <c r="J32" s="77"/>
      <c r="K32" s="240">
        <f>E32/C32</f>
        <v>0.55126733073122614</v>
      </c>
      <c r="L32" s="125">
        <v>0.60099999999999998</v>
      </c>
      <c r="M32" s="77">
        <v>104433</v>
      </c>
      <c r="N32" s="77">
        <v>8</v>
      </c>
      <c r="O32" s="79">
        <v>1</v>
      </c>
      <c r="P32" s="9"/>
      <c r="Q32" s="9"/>
      <c r="R32" s="9"/>
      <c r="S32" s="9"/>
      <c r="T32" s="9"/>
    </row>
    <row r="33" spans="2:20" x14ac:dyDescent="0.15">
      <c r="B33" s="76" t="s">
        <v>56</v>
      </c>
      <c r="C33" s="77">
        <v>3825743</v>
      </c>
      <c r="D33" s="77"/>
      <c r="E33" s="77">
        <v>2480219</v>
      </c>
      <c r="F33" s="77"/>
      <c r="G33" s="77">
        <v>1345524</v>
      </c>
      <c r="H33" s="77"/>
      <c r="I33" s="77">
        <v>1338504</v>
      </c>
      <c r="J33" s="77"/>
      <c r="K33" s="240">
        <f>E33/C33</f>
        <v>0.64829733727539984</v>
      </c>
      <c r="L33" s="125">
        <v>0.60399999999999998</v>
      </c>
      <c r="M33" s="77">
        <v>97614</v>
      </c>
      <c r="N33" s="77">
        <v>8</v>
      </c>
      <c r="O33" s="79">
        <v>1</v>
      </c>
      <c r="P33" s="9"/>
      <c r="Q33" s="9"/>
      <c r="R33" s="9"/>
      <c r="S33" s="9"/>
      <c r="T33" s="9"/>
    </row>
    <row r="34" spans="2:20" x14ac:dyDescent="0.15">
      <c r="B34" s="76" t="s">
        <v>57</v>
      </c>
      <c r="C34" s="77">
        <v>4107986</v>
      </c>
      <c r="D34" s="77"/>
      <c r="E34" s="77">
        <v>2439913</v>
      </c>
      <c r="F34" s="77"/>
      <c r="G34" s="77">
        <v>1668073</v>
      </c>
      <c r="H34" s="77"/>
      <c r="I34" s="77">
        <v>1661423</v>
      </c>
      <c r="J34" s="77"/>
      <c r="K34" s="125">
        <v>0.59499999999999997</v>
      </c>
      <c r="L34" s="125">
        <v>0.59799999999999998</v>
      </c>
      <c r="M34" s="83">
        <v>100234</v>
      </c>
      <c r="N34" s="77">
        <v>7</v>
      </c>
      <c r="O34" s="79">
        <v>1</v>
      </c>
      <c r="P34" s="9"/>
      <c r="Q34" s="9"/>
      <c r="R34" s="9"/>
      <c r="S34" s="9"/>
      <c r="T34" s="9"/>
    </row>
    <row r="35" spans="2:20" x14ac:dyDescent="0.15">
      <c r="B35" s="76" t="s">
        <v>58</v>
      </c>
      <c r="C35" s="77">
        <v>4489762</v>
      </c>
      <c r="D35" s="77"/>
      <c r="E35" s="77">
        <v>2608982</v>
      </c>
      <c r="F35" s="77"/>
      <c r="G35" s="77">
        <v>1880780</v>
      </c>
      <c r="H35" s="77"/>
      <c r="I35" s="77">
        <v>1876304</v>
      </c>
      <c r="J35" s="77">
        <v>1876304</v>
      </c>
      <c r="K35" s="125">
        <v>0.58099999999999996</v>
      </c>
      <c r="L35" s="125">
        <v>0.60799999999999998</v>
      </c>
      <c r="M35" s="83">
        <v>95198</v>
      </c>
      <c r="N35" s="77">
        <v>7</v>
      </c>
      <c r="O35" s="79">
        <v>1</v>
      </c>
      <c r="P35" s="9"/>
      <c r="Q35" s="9"/>
      <c r="R35" s="9"/>
      <c r="S35" s="9"/>
      <c r="T35" s="9"/>
    </row>
    <row r="36" spans="2:20" x14ac:dyDescent="0.15">
      <c r="B36" s="76" t="s">
        <v>59</v>
      </c>
      <c r="C36" s="82">
        <v>4700819</v>
      </c>
      <c r="D36" s="125"/>
      <c r="E36" s="82">
        <v>2752754</v>
      </c>
      <c r="F36" s="125"/>
      <c r="G36" s="82">
        <v>1948065</v>
      </c>
      <c r="H36" s="125"/>
      <c r="I36" s="83">
        <v>1941965</v>
      </c>
      <c r="J36" s="82">
        <v>1948065</v>
      </c>
      <c r="K36" s="125">
        <v>0.58599999999999997</v>
      </c>
      <c r="L36" s="125">
        <v>0.58699999999999997</v>
      </c>
      <c r="M36" s="83">
        <v>100963</v>
      </c>
      <c r="N36" s="77">
        <v>8</v>
      </c>
      <c r="O36" s="79">
        <v>2</v>
      </c>
      <c r="P36" s="9"/>
      <c r="Q36" s="9"/>
      <c r="R36" s="9"/>
      <c r="S36" s="9"/>
      <c r="T36" s="9"/>
    </row>
    <row r="37" spans="2:20" x14ac:dyDescent="0.15">
      <c r="B37" s="76" t="s">
        <v>60</v>
      </c>
      <c r="C37" s="83">
        <v>4705844</v>
      </c>
      <c r="D37" s="125"/>
      <c r="E37" s="83">
        <v>2909414</v>
      </c>
      <c r="F37" s="125"/>
      <c r="G37" s="83">
        <v>1796430</v>
      </c>
      <c r="H37" s="125"/>
      <c r="I37" s="83">
        <v>1792204</v>
      </c>
      <c r="J37" s="83"/>
      <c r="K37" s="238">
        <v>0.62</v>
      </c>
      <c r="L37" s="125">
        <v>0.59599999999999997</v>
      </c>
      <c r="M37" s="83">
        <v>109178</v>
      </c>
      <c r="N37" s="77">
        <v>7</v>
      </c>
      <c r="O37" s="79">
        <v>1</v>
      </c>
      <c r="P37" s="9"/>
      <c r="Q37" s="9"/>
      <c r="R37" s="9"/>
      <c r="S37" s="9"/>
      <c r="T37" s="9"/>
    </row>
    <row r="38" spans="2:20" x14ac:dyDescent="0.15">
      <c r="B38" s="76" t="s">
        <v>62</v>
      </c>
      <c r="C38" s="83">
        <v>4860008</v>
      </c>
      <c r="D38" s="125"/>
      <c r="E38" s="83">
        <v>3025493</v>
      </c>
      <c r="F38" s="125"/>
      <c r="G38" s="83">
        <v>1834515</v>
      </c>
      <c r="H38" s="125"/>
      <c r="I38" s="83">
        <v>1831446</v>
      </c>
      <c r="J38" s="125"/>
      <c r="K38" s="125">
        <v>0.623</v>
      </c>
      <c r="L38" s="238">
        <v>0.61</v>
      </c>
      <c r="M38" s="83">
        <v>124137</v>
      </c>
      <c r="N38" s="77">
        <v>6</v>
      </c>
      <c r="O38" s="79">
        <v>1</v>
      </c>
      <c r="P38" s="9"/>
      <c r="Q38" s="9"/>
      <c r="R38" s="9"/>
      <c r="S38" s="9"/>
      <c r="T38" s="9"/>
    </row>
    <row r="39" spans="2:20" ht="18.75" x14ac:dyDescent="0.4">
      <c r="B39" s="76" t="s">
        <v>63</v>
      </c>
      <c r="C39" s="84">
        <v>4954803</v>
      </c>
      <c r="D39" s="125"/>
      <c r="E39" s="83">
        <v>3458935</v>
      </c>
      <c r="F39" s="125"/>
      <c r="G39" s="84">
        <v>1495868</v>
      </c>
      <c r="H39" s="125"/>
      <c r="I39" s="83">
        <v>1493268</v>
      </c>
      <c r="J39" s="125"/>
      <c r="K39" s="125">
        <v>0.69799999999999995</v>
      </c>
      <c r="L39" s="125">
        <v>0.64700000000000002</v>
      </c>
      <c r="M39" s="83">
        <v>151092</v>
      </c>
      <c r="N39" s="125">
        <v>4</v>
      </c>
      <c r="O39" s="239">
        <v>1</v>
      </c>
      <c r="P39" s="9"/>
      <c r="Q39" s="9"/>
      <c r="R39" s="9"/>
      <c r="S39" s="9"/>
      <c r="T39" s="9"/>
    </row>
    <row r="40" spans="2:20" x14ac:dyDescent="0.15">
      <c r="B40" s="345" t="s">
        <v>64</v>
      </c>
      <c r="C40" s="346">
        <v>5015493</v>
      </c>
      <c r="D40" s="346">
        <v>5042061</v>
      </c>
      <c r="E40" s="346">
        <v>2959548</v>
      </c>
      <c r="F40" s="346">
        <v>2959548</v>
      </c>
      <c r="G40" s="346">
        <v>2055945</v>
      </c>
      <c r="H40" s="346">
        <v>2082513</v>
      </c>
      <c r="I40" s="346">
        <v>2053504</v>
      </c>
      <c r="J40" s="346">
        <v>2082513</v>
      </c>
      <c r="K40" s="347">
        <v>0.58699999999999997</v>
      </c>
      <c r="L40" s="348">
        <v>0.63600000000000001</v>
      </c>
      <c r="M40" s="346">
        <v>165733</v>
      </c>
      <c r="N40" s="346">
        <v>4</v>
      </c>
      <c r="O40" s="349">
        <v>1</v>
      </c>
      <c r="P40" s="9"/>
      <c r="Q40" s="9"/>
      <c r="R40" s="9"/>
      <c r="S40" s="9"/>
      <c r="T40" s="9"/>
    </row>
    <row r="41" spans="2:20" x14ac:dyDescent="0.15">
      <c r="B41" s="345" t="s">
        <v>65</v>
      </c>
      <c r="C41" s="346">
        <v>5064780</v>
      </c>
      <c r="D41" s="348"/>
      <c r="E41" s="346">
        <v>3432682</v>
      </c>
      <c r="F41" s="348"/>
      <c r="G41" s="346">
        <v>1632098</v>
      </c>
      <c r="H41" s="348"/>
      <c r="I41" s="346">
        <v>1628347</v>
      </c>
      <c r="J41" s="348"/>
      <c r="K41" s="348">
        <v>0.67800000000000005</v>
      </c>
      <c r="L41" s="348">
        <v>0.65400000000000003</v>
      </c>
      <c r="M41" s="346">
        <v>177529</v>
      </c>
      <c r="N41" s="348">
        <v>4</v>
      </c>
      <c r="O41" s="350">
        <v>1</v>
      </c>
      <c r="P41" s="9"/>
      <c r="Q41" s="9"/>
      <c r="R41" s="9"/>
      <c r="S41" s="9"/>
      <c r="T41" s="9"/>
    </row>
    <row r="42" spans="2:20" x14ac:dyDescent="0.15">
      <c r="B42" s="345" t="s">
        <v>66</v>
      </c>
      <c r="C42" s="346">
        <v>4889149</v>
      </c>
      <c r="D42" s="348"/>
      <c r="E42" s="346">
        <v>3358304</v>
      </c>
      <c r="F42" s="348"/>
      <c r="G42" s="346">
        <v>1530845</v>
      </c>
      <c r="H42" s="348"/>
      <c r="I42" s="346">
        <v>1527836</v>
      </c>
      <c r="J42" s="348"/>
      <c r="K42" s="348">
        <v>0.68700000000000006</v>
      </c>
      <c r="L42" s="348">
        <v>0.65100000000000002</v>
      </c>
      <c r="M42" s="346">
        <v>190033</v>
      </c>
      <c r="N42" s="348">
        <v>4</v>
      </c>
      <c r="O42" s="350">
        <v>1</v>
      </c>
      <c r="P42" s="9"/>
      <c r="Q42" s="9"/>
      <c r="R42" s="9"/>
      <c r="S42" s="9"/>
      <c r="T42" s="9"/>
    </row>
    <row r="43" spans="2:20" x14ac:dyDescent="0.15">
      <c r="B43" s="345" t="s">
        <v>67</v>
      </c>
      <c r="C43" s="346">
        <v>4561898</v>
      </c>
      <c r="D43" s="348"/>
      <c r="E43" s="346">
        <v>2625963</v>
      </c>
      <c r="F43" s="348"/>
      <c r="G43" s="346">
        <v>1935935</v>
      </c>
      <c r="H43" s="348"/>
      <c r="I43" s="346">
        <v>1927265</v>
      </c>
      <c r="J43" s="348"/>
      <c r="K43" s="348">
        <v>0.57799999999999996</v>
      </c>
      <c r="L43" s="348">
        <v>0.64800000000000002</v>
      </c>
      <c r="M43" s="346">
        <v>197130</v>
      </c>
      <c r="N43" s="348">
        <v>4</v>
      </c>
      <c r="O43" s="350">
        <v>1</v>
      </c>
      <c r="P43" s="9"/>
      <c r="Q43" s="9"/>
      <c r="R43" s="9"/>
      <c r="S43" s="9"/>
      <c r="T43" s="9"/>
    </row>
    <row r="44" spans="2:20" ht="13.5" x14ac:dyDescent="0.15">
      <c r="B44" s="345" t="s">
        <v>68</v>
      </c>
      <c r="C44" s="346">
        <v>4586779</v>
      </c>
      <c r="D44" s="348"/>
      <c r="E44" s="346">
        <v>2665845</v>
      </c>
      <c r="F44" s="348"/>
      <c r="G44" s="346">
        <v>1920934</v>
      </c>
      <c r="H44" s="348"/>
      <c r="I44" s="346">
        <v>1920934</v>
      </c>
      <c r="J44" s="348"/>
      <c r="K44" s="348">
        <v>0.58099999999999996</v>
      </c>
      <c r="L44" s="348">
        <v>0.61499999999999999</v>
      </c>
      <c r="M44" s="351">
        <v>193002</v>
      </c>
      <c r="N44" s="348">
        <v>7</v>
      </c>
      <c r="O44" s="350">
        <v>2</v>
      </c>
      <c r="P44" s="9"/>
      <c r="Q44" s="9"/>
      <c r="R44" s="9"/>
      <c r="S44" s="9"/>
      <c r="T44" s="9"/>
    </row>
    <row r="45" spans="2:20" ht="13.5" x14ac:dyDescent="0.15">
      <c r="B45" s="345" t="s">
        <v>69</v>
      </c>
      <c r="C45" s="351">
        <v>4703787</v>
      </c>
      <c r="D45" s="348"/>
      <c r="E45" s="351">
        <v>2887666</v>
      </c>
      <c r="F45" s="348"/>
      <c r="G45" s="351">
        <v>1816121</v>
      </c>
      <c r="H45" s="348"/>
      <c r="I45" s="351">
        <v>1808423</v>
      </c>
      <c r="J45" s="348"/>
      <c r="K45" s="348">
        <v>0.61399999999999999</v>
      </c>
      <c r="L45" s="352">
        <v>0.59099999999999997</v>
      </c>
      <c r="M45" s="351">
        <v>131382</v>
      </c>
      <c r="N45" s="348">
        <v>5</v>
      </c>
      <c r="O45" s="350">
        <v>2</v>
      </c>
      <c r="P45" s="9"/>
      <c r="Q45" s="9"/>
      <c r="R45" s="9"/>
      <c r="S45" s="9"/>
      <c r="T45" s="9"/>
    </row>
    <row r="46" spans="2:20" ht="13.5" x14ac:dyDescent="0.15">
      <c r="B46" s="345" t="s">
        <v>70</v>
      </c>
      <c r="C46" s="351">
        <v>4667193</v>
      </c>
      <c r="D46" s="348"/>
      <c r="E46" s="351">
        <v>3220757</v>
      </c>
      <c r="F46" s="348"/>
      <c r="G46" s="351">
        <v>1446436</v>
      </c>
      <c r="H46" s="348"/>
      <c r="I46" s="351">
        <v>1446436</v>
      </c>
      <c r="J46" s="348"/>
      <c r="K46" s="347">
        <v>0.69</v>
      </c>
      <c r="L46" s="348">
        <v>0.628</v>
      </c>
      <c r="M46" s="351">
        <v>175629</v>
      </c>
      <c r="N46" s="348">
        <v>5</v>
      </c>
      <c r="O46" s="350">
        <v>2</v>
      </c>
      <c r="P46" s="9"/>
      <c r="Q46" s="9"/>
      <c r="R46" s="9"/>
      <c r="S46" s="9"/>
      <c r="T46" s="9"/>
    </row>
    <row r="47" spans="2:20" ht="13.5" x14ac:dyDescent="0.15">
      <c r="B47" s="345" t="s">
        <v>217</v>
      </c>
      <c r="C47" s="351">
        <v>4665214</v>
      </c>
      <c r="D47" s="348"/>
      <c r="E47" s="351">
        <v>3401119</v>
      </c>
      <c r="F47" s="348"/>
      <c r="G47" s="351">
        <v>1264095</v>
      </c>
      <c r="H47" s="348"/>
      <c r="I47" s="351">
        <v>1256116</v>
      </c>
      <c r="J47" s="348"/>
      <c r="K47" s="348">
        <v>0.72899999999999998</v>
      </c>
      <c r="L47" s="348">
        <v>0.67800000000000005</v>
      </c>
      <c r="M47" s="351">
        <v>133524</v>
      </c>
      <c r="N47" s="348">
        <v>6</v>
      </c>
      <c r="O47" s="350">
        <v>2</v>
      </c>
      <c r="P47" s="9"/>
      <c r="Q47" s="9"/>
      <c r="R47" s="9"/>
      <c r="S47" s="9"/>
      <c r="T47" s="9"/>
    </row>
    <row r="48" spans="2:20" ht="13.5" x14ac:dyDescent="0.15">
      <c r="B48" s="345" t="s">
        <v>131</v>
      </c>
      <c r="C48" s="351">
        <v>4795013</v>
      </c>
      <c r="D48" s="351">
        <v>4790016</v>
      </c>
      <c r="E48" s="351">
        <v>3429826</v>
      </c>
      <c r="F48" s="351">
        <v>3431694</v>
      </c>
      <c r="G48" s="351">
        <v>1365187</v>
      </c>
      <c r="H48" s="351">
        <v>1358322</v>
      </c>
      <c r="I48" s="351">
        <v>1357415</v>
      </c>
      <c r="J48" s="351">
        <v>1361216</v>
      </c>
      <c r="K48" s="348">
        <v>0.71599999999999997</v>
      </c>
      <c r="L48" s="348">
        <v>0.71199999999999997</v>
      </c>
      <c r="M48" s="351">
        <v>155272</v>
      </c>
      <c r="N48" s="348">
        <v>4</v>
      </c>
      <c r="O48" s="350">
        <v>1</v>
      </c>
      <c r="P48" s="9"/>
      <c r="Q48" s="9"/>
      <c r="R48" s="9"/>
      <c r="S48" s="9"/>
      <c r="T48" s="9"/>
    </row>
    <row r="49" spans="2:20" ht="13.5" x14ac:dyDescent="0.15">
      <c r="B49" s="345" t="s">
        <v>132</v>
      </c>
      <c r="C49" s="351">
        <v>4767225</v>
      </c>
      <c r="D49" s="351"/>
      <c r="E49" s="351">
        <v>3323449</v>
      </c>
      <c r="F49" s="351"/>
      <c r="G49" s="351">
        <f>C49-E49</f>
        <v>1443776</v>
      </c>
      <c r="H49" s="351"/>
      <c r="I49" s="351">
        <v>1439489</v>
      </c>
      <c r="J49" s="351"/>
      <c r="K49" s="348">
        <v>0.69499999999999995</v>
      </c>
      <c r="L49" s="348">
        <v>0.71299999999999997</v>
      </c>
      <c r="M49" s="351">
        <v>156292</v>
      </c>
      <c r="N49" s="348">
        <v>4</v>
      </c>
      <c r="O49" s="350">
        <v>1</v>
      </c>
      <c r="P49" s="9"/>
      <c r="Q49" s="9"/>
      <c r="R49" s="9"/>
      <c r="S49" s="9"/>
      <c r="T49" s="9"/>
    </row>
    <row r="50" spans="2:20" ht="13.5" x14ac:dyDescent="0.15">
      <c r="B50" s="345" t="s">
        <v>161</v>
      </c>
      <c r="C50" s="351">
        <v>4714529</v>
      </c>
      <c r="D50" s="351">
        <v>4748733</v>
      </c>
      <c r="E50" s="351">
        <v>2900377</v>
      </c>
      <c r="F50" s="351">
        <v>2900377</v>
      </c>
      <c r="G50" s="351">
        <v>1814152</v>
      </c>
      <c r="H50" s="351">
        <v>1848356</v>
      </c>
      <c r="I50" s="351">
        <v>1810289</v>
      </c>
      <c r="J50" s="351">
        <v>1848356</v>
      </c>
      <c r="K50" s="348">
        <f>ROUND(F50/D50,3)</f>
        <v>0.61099999999999999</v>
      </c>
      <c r="L50" s="348">
        <v>0.67400000000000004</v>
      </c>
      <c r="M50" s="351">
        <v>206463</v>
      </c>
      <c r="N50" s="348">
        <v>4</v>
      </c>
      <c r="O50" s="350">
        <v>1</v>
      </c>
      <c r="P50" s="9"/>
      <c r="Q50" s="9"/>
      <c r="R50" s="9"/>
      <c r="S50" s="9"/>
      <c r="T50" s="9"/>
    </row>
    <row r="51" spans="2:20" ht="13.5" x14ac:dyDescent="0.15">
      <c r="B51" s="345" t="s">
        <v>218</v>
      </c>
      <c r="C51" s="351">
        <v>4794417</v>
      </c>
      <c r="D51" s="351">
        <v>4800828</v>
      </c>
      <c r="E51" s="351">
        <v>2770456</v>
      </c>
      <c r="F51" s="351">
        <v>2776588</v>
      </c>
      <c r="G51" s="351">
        <v>2023961</v>
      </c>
      <c r="H51" s="351">
        <v>2024240</v>
      </c>
      <c r="I51" s="351">
        <v>2023961</v>
      </c>
      <c r="J51" s="351">
        <v>2024240</v>
      </c>
      <c r="K51" s="348">
        <f>ROUND(F51/D51,3)</f>
        <v>0.57799999999999996</v>
      </c>
      <c r="L51" s="348">
        <v>0.628</v>
      </c>
      <c r="M51" s="351">
        <v>176154</v>
      </c>
      <c r="N51" s="348">
        <v>4</v>
      </c>
      <c r="O51" s="350">
        <v>1</v>
      </c>
      <c r="P51" s="9"/>
      <c r="Q51" s="9"/>
      <c r="R51" s="9"/>
      <c r="S51" s="9"/>
      <c r="T51" s="9"/>
    </row>
    <row r="52" spans="2:20" ht="13.5" x14ac:dyDescent="0.15">
      <c r="B52" s="345" t="s">
        <v>135</v>
      </c>
      <c r="C52" s="351">
        <v>4811288</v>
      </c>
      <c r="D52" s="351"/>
      <c r="E52" s="351">
        <v>2846892</v>
      </c>
      <c r="F52" s="351"/>
      <c r="G52" s="351">
        <f t="shared" ref="G52:G56" si="0">C52-E52</f>
        <v>1964396</v>
      </c>
      <c r="H52" s="351"/>
      <c r="I52" s="351">
        <v>1964396</v>
      </c>
      <c r="J52" s="351"/>
      <c r="K52" s="348">
        <f>ROUNDDOWN(E52/C52,3)</f>
        <v>0.59099999999999997</v>
      </c>
      <c r="L52" s="348">
        <f t="shared" ref="L52:L61" si="1">ROUND(AVERAGE(K50:K52),3)</f>
        <v>0.59299999999999997</v>
      </c>
      <c r="M52" s="351">
        <v>169906</v>
      </c>
      <c r="N52" s="348">
        <v>4</v>
      </c>
      <c r="O52" s="350">
        <v>1</v>
      </c>
      <c r="P52" s="9"/>
      <c r="Q52" s="9"/>
      <c r="R52" s="9"/>
      <c r="S52" s="9"/>
      <c r="T52" s="9"/>
    </row>
    <row r="53" spans="2:20" ht="13.5" x14ac:dyDescent="0.15">
      <c r="B53" s="345" t="s">
        <v>136</v>
      </c>
      <c r="C53" s="351">
        <v>4898157</v>
      </c>
      <c r="D53" s="351"/>
      <c r="E53" s="351">
        <v>2968020</v>
      </c>
      <c r="F53" s="351"/>
      <c r="G53" s="351">
        <f t="shared" si="0"/>
        <v>1930137</v>
      </c>
      <c r="H53" s="351"/>
      <c r="I53" s="351">
        <v>1930137</v>
      </c>
      <c r="J53" s="351"/>
      <c r="K53" s="348">
        <f t="shared" ref="K53:K60" si="2">ROUND(E53/C53,3)</f>
        <v>0.60599999999999998</v>
      </c>
      <c r="L53" s="348">
        <f t="shared" si="1"/>
        <v>0.59199999999999997</v>
      </c>
      <c r="M53" s="351">
        <v>157962</v>
      </c>
      <c r="N53" s="348">
        <v>5</v>
      </c>
      <c r="O53" s="350">
        <v>1</v>
      </c>
      <c r="P53" s="9"/>
      <c r="Q53" s="9"/>
      <c r="R53" s="9"/>
      <c r="S53" s="9"/>
      <c r="T53" s="9"/>
    </row>
    <row r="54" spans="2:20" ht="13.5" x14ac:dyDescent="0.15">
      <c r="B54" s="345" t="s">
        <v>137</v>
      </c>
      <c r="C54" s="351">
        <v>4900332</v>
      </c>
      <c r="D54" s="351"/>
      <c r="E54" s="351">
        <v>2881056</v>
      </c>
      <c r="F54" s="351"/>
      <c r="G54" s="351">
        <f t="shared" si="0"/>
        <v>2019276</v>
      </c>
      <c r="H54" s="351"/>
      <c r="I54" s="351">
        <v>2019276</v>
      </c>
      <c r="J54" s="351"/>
      <c r="K54" s="348">
        <f t="shared" si="2"/>
        <v>0.58799999999999997</v>
      </c>
      <c r="L54" s="348">
        <f t="shared" si="1"/>
        <v>0.59499999999999997</v>
      </c>
      <c r="M54" s="351">
        <v>157605</v>
      </c>
      <c r="N54" s="348">
        <v>5</v>
      </c>
      <c r="O54" s="350">
        <v>1</v>
      </c>
      <c r="P54" s="9"/>
      <c r="Q54" s="9"/>
      <c r="R54" s="9"/>
      <c r="S54" s="9"/>
      <c r="T54" s="9"/>
    </row>
    <row r="55" spans="2:20" ht="13.5" x14ac:dyDescent="0.15">
      <c r="B55" s="345" t="s">
        <v>138</v>
      </c>
      <c r="C55" s="351">
        <v>5143589</v>
      </c>
      <c r="D55" s="351"/>
      <c r="E55" s="351">
        <v>3177427</v>
      </c>
      <c r="F55" s="351"/>
      <c r="G55" s="351">
        <f t="shared" si="0"/>
        <v>1966162</v>
      </c>
      <c r="H55" s="351"/>
      <c r="I55" s="351">
        <v>1966162</v>
      </c>
      <c r="J55" s="351"/>
      <c r="K55" s="348">
        <f t="shared" si="2"/>
        <v>0.61799999999999999</v>
      </c>
      <c r="L55" s="348">
        <f t="shared" si="1"/>
        <v>0.60399999999999998</v>
      </c>
      <c r="M55" s="351">
        <v>155092</v>
      </c>
      <c r="N55" s="348">
        <v>4</v>
      </c>
      <c r="O55" s="350">
        <v>1</v>
      </c>
      <c r="P55" s="9"/>
      <c r="Q55" s="9"/>
      <c r="R55" s="9"/>
      <c r="S55" s="9"/>
      <c r="T55" s="9"/>
    </row>
    <row r="56" spans="2:20" ht="13.5" x14ac:dyDescent="0.15">
      <c r="B56" s="345" t="s">
        <v>139</v>
      </c>
      <c r="C56" s="351">
        <v>5136915</v>
      </c>
      <c r="D56" s="351"/>
      <c r="E56" s="351">
        <v>3150306</v>
      </c>
      <c r="F56" s="351"/>
      <c r="G56" s="351">
        <f t="shared" si="0"/>
        <v>1986609</v>
      </c>
      <c r="H56" s="351"/>
      <c r="I56" s="351">
        <v>1982383</v>
      </c>
      <c r="J56" s="351"/>
      <c r="K56" s="348">
        <f t="shared" si="2"/>
        <v>0.61299999999999999</v>
      </c>
      <c r="L56" s="348">
        <f t="shared" si="1"/>
        <v>0.60599999999999998</v>
      </c>
      <c r="M56" s="351">
        <v>167599</v>
      </c>
      <c r="N56" s="348">
        <v>4</v>
      </c>
      <c r="O56" s="350">
        <v>1</v>
      </c>
      <c r="P56" s="9"/>
      <c r="Q56" s="9"/>
      <c r="R56" s="9"/>
      <c r="S56" s="9"/>
      <c r="T56" s="9"/>
    </row>
    <row r="57" spans="2:20" ht="13.5" x14ac:dyDescent="0.15">
      <c r="B57" s="345" t="s">
        <v>140</v>
      </c>
      <c r="C57" s="351">
        <v>5075306</v>
      </c>
      <c r="D57" s="351"/>
      <c r="E57" s="351">
        <v>3182592</v>
      </c>
      <c r="F57" s="351"/>
      <c r="G57" s="351">
        <f>C57-E57</f>
        <v>1892714</v>
      </c>
      <c r="H57" s="351"/>
      <c r="I57" s="351">
        <v>1888710</v>
      </c>
      <c r="J57" s="351"/>
      <c r="K57" s="348">
        <f t="shared" si="2"/>
        <v>0.627</v>
      </c>
      <c r="L57" s="348">
        <f t="shared" si="1"/>
        <v>0.61899999999999999</v>
      </c>
      <c r="M57" s="351">
        <v>180454</v>
      </c>
      <c r="N57" s="348">
        <v>4</v>
      </c>
      <c r="O57" s="350">
        <v>1</v>
      </c>
      <c r="P57" s="9"/>
      <c r="Q57" s="9"/>
      <c r="R57" s="9"/>
      <c r="S57" s="9"/>
      <c r="T57" s="9"/>
    </row>
    <row r="58" spans="2:20" ht="13.5" x14ac:dyDescent="0.15">
      <c r="B58" s="345" t="s">
        <v>219</v>
      </c>
      <c r="C58" s="351">
        <v>5099765</v>
      </c>
      <c r="D58" s="351"/>
      <c r="E58" s="351">
        <v>3146695</v>
      </c>
      <c r="F58" s="351"/>
      <c r="G58" s="351">
        <f>C58-E58</f>
        <v>1953070</v>
      </c>
      <c r="H58" s="351"/>
      <c r="I58" s="351">
        <v>1915476</v>
      </c>
      <c r="J58" s="351"/>
      <c r="K58" s="348">
        <f t="shared" si="2"/>
        <v>0.61699999999999999</v>
      </c>
      <c r="L58" s="348">
        <f t="shared" si="1"/>
        <v>0.61899999999999999</v>
      </c>
      <c r="M58" s="351">
        <v>171072</v>
      </c>
      <c r="N58" s="348">
        <v>5</v>
      </c>
      <c r="O58" s="350">
        <v>1</v>
      </c>
      <c r="P58" s="9"/>
      <c r="Q58" s="9"/>
      <c r="R58" s="9"/>
      <c r="S58" s="9"/>
      <c r="T58" s="9"/>
    </row>
    <row r="59" spans="2:20" ht="13.5" x14ac:dyDescent="0.15">
      <c r="B59" s="345" t="s">
        <v>142</v>
      </c>
      <c r="C59" s="351">
        <v>5198284</v>
      </c>
      <c r="D59" s="351"/>
      <c r="E59" s="351">
        <v>3270619</v>
      </c>
      <c r="F59" s="351"/>
      <c r="G59" s="351">
        <f>C59-E59</f>
        <v>1927665</v>
      </c>
      <c r="H59" s="351"/>
      <c r="I59" s="351">
        <v>1905142</v>
      </c>
      <c r="J59" s="351"/>
      <c r="K59" s="348">
        <f t="shared" si="2"/>
        <v>0.629</v>
      </c>
      <c r="L59" s="348">
        <f t="shared" si="1"/>
        <v>0.624</v>
      </c>
      <c r="M59" s="351">
        <v>176330</v>
      </c>
      <c r="N59" s="348">
        <v>5</v>
      </c>
      <c r="O59" s="350">
        <v>1</v>
      </c>
      <c r="P59" s="9"/>
      <c r="Q59" s="9"/>
      <c r="R59" s="9"/>
      <c r="S59" s="9"/>
      <c r="T59" s="9"/>
    </row>
    <row r="60" spans="2:20" ht="13.5" x14ac:dyDescent="0.15">
      <c r="B60" s="345" t="s">
        <v>143</v>
      </c>
      <c r="C60" s="351">
        <v>5586956</v>
      </c>
      <c r="D60" s="351"/>
      <c r="E60" s="351">
        <v>3352908</v>
      </c>
      <c r="F60" s="351"/>
      <c r="G60" s="351">
        <f>C60-E60</f>
        <v>2234048</v>
      </c>
      <c r="H60" s="351"/>
      <c r="I60" s="351">
        <v>2234048</v>
      </c>
      <c r="J60" s="351"/>
      <c r="K60" s="347">
        <f t="shared" si="2"/>
        <v>0.6</v>
      </c>
      <c r="L60" s="348">
        <f t="shared" si="1"/>
        <v>0.61499999999999999</v>
      </c>
      <c r="M60" s="351">
        <v>163463</v>
      </c>
      <c r="N60" s="348">
        <v>5</v>
      </c>
      <c r="O60" s="350">
        <v>1</v>
      </c>
      <c r="P60" s="9"/>
      <c r="Q60" s="9"/>
      <c r="R60" s="9"/>
      <c r="S60" s="9"/>
      <c r="T60" s="9"/>
    </row>
    <row r="61" spans="2:20" ht="13.5" x14ac:dyDescent="0.15">
      <c r="B61" s="353" t="s">
        <v>144</v>
      </c>
      <c r="C61" s="354">
        <v>5646449</v>
      </c>
      <c r="D61" s="354">
        <v>5834094</v>
      </c>
      <c r="E61" s="354">
        <v>3213289</v>
      </c>
      <c r="F61" s="354">
        <v>3211220</v>
      </c>
      <c r="G61" s="354">
        <f>C61-E61</f>
        <v>2433160</v>
      </c>
      <c r="H61" s="354">
        <v>2622874</v>
      </c>
      <c r="I61" s="354">
        <v>2429266</v>
      </c>
      <c r="J61" s="354">
        <v>2620808</v>
      </c>
      <c r="K61" s="355">
        <v>0.55000000000000004</v>
      </c>
      <c r="L61" s="356">
        <f t="shared" si="1"/>
        <v>0.59299999999999997</v>
      </c>
      <c r="M61" s="354">
        <v>218833</v>
      </c>
      <c r="N61" s="356"/>
      <c r="O61" s="357"/>
      <c r="P61" s="9"/>
      <c r="Q61" s="9"/>
      <c r="R61" s="9"/>
      <c r="S61" s="9"/>
      <c r="T61" s="9"/>
    </row>
  </sheetData>
  <mergeCells count="7">
    <mergeCell ref="N2:O3"/>
    <mergeCell ref="C2:D3"/>
    <mergeCell ref="E2:F3"/>
    <mergeCell ref="G2:H3"/>
    <mergeCell ref="I2:J3"/>
    <mergeCell ref="K2:L3"/>
    <mergeCell ref="M2:M4"/>
  </mergeCells>
  <phoneticPr fontId="3"/>
  <printOptions horizontalCentered="1"/>
  <pageMargins left="0.39370078740157483" right="0.39370078740157483" top="0.98425196850393704" bottom="0.78740157480314965" header="0.51181102362204722" footer="0.51181102362204722"/>
  <pageSetup paperSize="9" scale="90" fitToHeight="0" orientation="landscape" r:id="rId1"/>
  <headerFooter alignWithMargins="0">
    <oddFooter>&amp;P / &amp;N ページ</oddFooter>
  </headerFooter>
  <rowBreaks count="1" manualBreakCount="1">
    <brk id="46" min="1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6"/>
  <sheetViews>
    <sheetView view="pageBreakPreview" zoomScale="98" zoomScaleNormal="100" zoomScaleSheetLayoutView="98" workbookViewId="0">
      <pane xSplit="2" ySplit="4" topLeftCell="C35" activePane="bottomRight" state="frozen"/>
      <selection activeCell="M19" sqref="M19"/>
      <selection pane="topRight" activeCell="M19" sqref="M19"/>
      <selection pane="bottomLeft" activeCell="M19" sqref="M19"/>
      <selection pane="bottomRight" activeCell="D1" sqref="D1"/>
    </sheetView>
  </sheetViews>
  <sheetFormatPr defaultColWidth="9.375" defaultRowHeight="12" x14ac:dyDescent="0.15"/>
  <cols>
    <col min="1" max="1" width="2.375" style="2" customWidth="1"/>
    <col min="2" max="2" width="11.125" style="2" customWidth="1"/>
    <col min="3" max="4" width="11.5" style="2" customWidth="1"/>
    <col min="5" max="5" width="9.75" style="2" customWidth="1"/>
    <col min="6" max="9" width="12.625" style="2" customWidth="1"/>
    <col min="10" max="10" width="9.75" style="2" customWidth="1"/>
    <col min="11" max="11" width="11.625" style="2" customWidth="1"/>
    <col min="12" max="12" width="24.75" style="2" customWidth="1"/>
    <col min="13" max="16384" width="9.375" style="2"/>
  </cols>
  <sheetData>
    <row r="1" spans="2:20" ht="20.45" customHeight="1" x14ac:dyDescent="0.15">
      <c r="B1" s="1" t="s">
        <v>220</v>
      </c>
    </row>
    <row r="2" spans="2:20" x14ac:dyDescent="0.15">
      <c r="B2" s="203"/>
      <c r="C2" s="204"/>
      <c r="D2" s="204"/>
      <c r="E2" s="204"/>
      <c r="F2" s="204"/>
      <c r="G2" s="204"/>
      <c r="H2" s="204"/>
      <c r="I2" s="204"/>
      <c r="J2" s="204"/>
      <c r="K2" s="204"/>
      <c r="L2" s="203"/>
    </row>
    <row r="3" spans="2:20" x14ac:dyDescent="0.15">
      <c r="B3" s="206" t="s">
        <v>94</v>
      </c>
      <c r="C3" s="206" t="s">
        <v>221</v>
      </c>
      <c r="D3" s="206" t="s">
        <v>222</v>
      </c>
      <c r="E3" s="206" t="s">
        <v>223</v>
      </c>
      <c r="F3" s="206" t="s">
        <v>224</v>
      </c>
      <c r="G3" s="206" t="s">
        <v>225</v>
      </c>
      <c r="H3" s="206" t="s">
        <v>226</v>
      </c>
      <c r="I3" s="206" t="s">
        <v>227</v>
      </c>
      <c r="J3" s="206" t="s">
        <v>228</v>
      </c>
      <c r="K3" s="206" t="s">
        <v>229</v>
      </c>
      <c r="L3" s="206" t="s">
        <v>230</v>
      </c>
    </row>
    <row r="4" spans="2:20" x14ac:dyDescent="0.15">
      <c r="B4" s="211"/>
      <c r="C4" s="211"/>
      <c r="D4" s="211" t="s">
        <v>231</v>
      </c>
      <c r="E4" s="211" t="s">
        <v>232</v>
      </c>
      <c r="F4" s="211"/>
      <c r="G4" s="211"/>
      <c r="H4" s="211"/>
      <c r="I4" s="211"/>
      <c r="J4" s="211"/>
      <c r="K4" s="211"/>
      <c r="L4" s="210"/>
    </row>
    <row r="5" spans="2:20" hidden="1" x14ac:dyDescent="0.15">
      <c r="B5" s="234" t="s">
        <v>25</v>
      </c>
      <c r="C5" s="241"/>
      <c r="D5" s="241"/>
      <c r="E5" s="241"/>
      <c r="F5" s="241"/>
      <c r="G5" s="241"/>
      <c r="H5" s="241"/>
      <c r="I5" s="241"/>
      <c r="J5" s="241"/>
      <c r="K5" s="241"/>
      <c r="L5" s="236"/>
      <c r="M5" s="9"/>
      <c r="N5" s="9"/>
      <c r="O5" s="9"/>
      <c r="P5" s="9"/>
      <c r="Q5" s="9"/>
      <c r="R5" s="9"/>
      <c r="S5" s="9"/>
      <c r="T5" s="9"/>
    </row>
    <row r="6" spans="2:20" hidden="1" x14ac:dyDescent="0.15">
      <c r="B6" s="237" t="s">
        <v>28</v>
      </c>
      <c r="C6" s="242"/>
      <c r="D6" s="242"/>
      <c r="E6" s="242"/>
      <c r="F6" s="242"/>
      <c r="G6" s="242"/>
      <c r="H6" s="242"/>
      <c r="I6" s="242"/>
      <c r="J6" s="242"/>
      <c r="K6" s="242"/>
      <c r="L6" s="125"/>
      <c r="M6" s="9"/>
      <c r="N6" s="9"/>
      <c r="O6" s="9"/>
      <c r="P6" s="9"/>
      <c r="Q6" s="9"/>
      <c r="R6" s="9"/>
      <c r="S6" s="9"/>
      <c r="T6" s="9"/>
    </row>
    <row r="7" spans="2:20" hidden="1" x14ac:dyDescent="0.15">
      <c r="B7" s="237" t="s">
        <v>29</v>
      </c>
      <c r="C7" s="242"/>
      <c r="D7" s="242"/>
      <c r="E7" s="242"/>
      <c r="F7" s="242"/>
      <c r="G7" s="242"/>
      <c r="H7" s="242"/>
      <c r="I7" s="242"/>
      <c r="J7" s="242"/>
      <c r="K7" s="242"/>
      <c r="L7" s="125"/>
      <c r="M7" s="9">
        <v>1</v>
      </c>
      <c r="N7" s="9"/>
      <c r="O7" s="9"/>
      <c r="P7" s="9"/>
      <c r="Q7" s="9"/>
      <c r="R7" s="9"/>
      <c r="S7" s="9"/>
      <c r="T7" s="9"/>
    </row>
    <row r="8" spans="2:20" hidden="1" x14ac:dyDescent="0.15">
      <c r="B8" s="237" t="s">
        <v>30</v>
      </c>
      <c r="C8" s="242"/>
      <c r="D8" s="242"/>
      <c r="E8" s="242"/>
      <c r="F8" s="242"/>
      <c r="G8" s="242"/>
      <c r="H8" s="242"/>
      <c r="I8" s="242"/>
      <c r="J8" s="242"/>
      <c r="K8" s="242"/>
      <c r="L8" s="125"/>
      <c r="M8" s="9">
        <v>3</v>
      </c>
      <c r="N8" s="9"/>
      <c r="O8" s="9"/>
      <c r="P8" s="9"/>
      <c r="Q8" s="9"/>
      <c r="R8" s="9"/>
      <c r="S8" s="9"/>
      <c r="T8" s="9"/>
    </row>
    <row r="9" spans="2:20" hidden="1" x14ac:dyDescent="0.15">
      <c r="B9" s="237" t="s">
        <v>31</v>
      </c>
      <c r="C9" s="242"/>
      <c r="D9" s="242"/>
      <c r="E9" s="242"/>
      <c r="F9" s="242"/>
      <c r="G9" s="242"/>
      <c r="H9" s="242"/>
      <c r="I9" s="242"/>
      <c r="J9" s="242"/>
      <c r="K9" s="242"/>
      <c r="L9" s="125"/>
      <c r="M9" s="9">
        <v>5</v>
      </c>
      <c r="N9" s="9"/>
      <c r="O9" s="9"/>
      <c r="P9" s="9"/>
      <c r="Q9" s="9"/>
      <c r="R9" s="9"/>
      <c r="S9" s="9"/>
      <c r="T9" s="9"/>
    </row>
    <row r="10" spans="2:20" hidden="1" x14ac:dyDescent="0.15">
      <c r="B10" s="237" t="s">
        <v>32</v>
      </c>
      <c r="C10" s="242"/>
      <c r="D10" s="242"/>
      <c r="E10" s="242"/>
      <c r="F10" s="242"/>
      <c r="G10" s="242"/>
      <c r="H10" s="242"/>
      <c r="I10" s="242"/>
      <c r="J10" s="242"/>
      <c r="K10" s="242"/>
      <c r="L10" s="125"/>
      <c r="M10" s="9">
        <v>7</v>
      </c>
      <c r="N10" s="9"/>
      <c r="O10" s="9"/>
      <c r="P10" s="9"/>
      <c r="Q10" s="9"/>
      <c r="R10" s="9"/>
      <c r="S10" s="9"/>
      <c r="T10" s="9"/>
    </row>
    <row r="11" spans="2:20" hidden="1" x14ac:dyDescent="0.15">
      <c r="B11" s="237" t="s">
        <v>33</v>
      </c>
      <c r="C11" s="242"/>
      <c r="D11" s="242"/>
      <c r="E11" s="242"/>
      <c r="F11" s="242"/>
      <c r="G11" s="242"/>
      <c r="H11" s="242"/>
      <c r="I11" s="242"/>
      <c r="J11" s="242"/>
      <c r="K11" s="242"/>
      <c r="L11" s="125"/>
      <c r="M11" s="9">
        <v>9</v>
      </c>
      <c r="N11" s="9"/>
      <c r="O11" s="9"/>
      <c r="P11" s="9"/>
      <c r="Q11" s="9"/>
      <c r="R11" s="9"/>
      <c r="S11" s="9"/>
      <c r="T11" s="9"/>
    </row>
    <row r="12" spans="2:20" hidden="1" x14ac:dyDescent="0.15">
      <c r="B12" s="237" t="s">
        <v>34</v>
      </c>
      <c r="C12" s="242"/>
      <c r="D12" s="242"/>
      <c r="E12" s="242"/>
      <c r="F12" s="242"/>
      <c r="G12" s="242"/>
      <c r="H12" s="242"/>
      <c r="I12" s="242"/>
      <c r="J12" s="242"/>
      <c r="K12" s="242"/>
      <c r="L12" s="125"/>
      <c r="M12" s="9">
        <v>11</v>
      </c>
      <c r="N12" s="9"/>
      <c r="O12" s="9"/>
      <c r="P12" s="9"/>
      <c r="Q12" s="9"/>
      <c r="R12" s="9"/>
      <c r="S12" s="9"/>
      <c r="T12" s="9"/>
    </row>
    <row r="13" spans="2:20" hidden="1" x14ac:dyDescent="0.15">
      <c r="B13" s="237" t="s">
        <v>35</v>
      </c>
      <c r="C13" s="242"/>
      <c r="D13" s="242"/>
      <c r="E13" s="242"/>
      <c r="F13" s="242"/>
      <c r="G13" s="242"/>
      <c r="H13" s="242"/>
      <c r="I13" s="242"/>
      <c r="J13" s="242"/>
      <c r="K13" s="242"/>
      <c r="L13" s="125"/>
      <c r="M13" s="9">
        <v>13</v>
      </c>
      <c r="N13" s="9"/>
      <c r="O13" s="9"/>
      <c r="P13" s="9"/>
      <c r="Q13" s="9"/>
      <c r="R13" s="9"/>
      <c r="S13" s="9"/>
      <c r="T13" s="9"/>
    </row>
    <row r="14" spans="2:20" hidden="1" x14ac:dyDescent="0.15">
      <c r="B14" s="237" t="s">
        <v>36</v>
      </c>
      <c r="C14" s="242"/>
      <c r="D14" s="242"/>
      <c r="E14" s="242"/>
      <c r="F14" s="242"/>
      <c r="G14" s="242"/>
      <c r="H14" s="242"/>
      <c r="I14" s="242"/>
      <c r="J14" s="242"/>
      <c r="K14" s="242"/>
      <c r="L14" s="125"/>
      <c r="M14" s="9">
        <v>15</v>
      </c>
      <c r="N14" s="9"/>
      <c r="O14" s="9"/>
      <c r="P14" s="9"/>
      <c r="Q14" s="9"/>
      <c r="R14" s="9"/>
      <c r="S14" s="9"/>
      <c r="T14" s="9"/>
    </row>
    <row r="15" spans="2:20" hidden="1" x14ac:dyDescent="0.15">
      <c r="B15" s="237" t="s">
        <v>37</v>
      </c>
      <c r="C15" s="242"/>
      <c r="D15" s="242"/>
      <c r="E15" s="242"/>
      <c r="F15" s="242"/>
      <c r="G15" s="242"/>
      <c r="H15" s="242"/>
      <c r="I15" s="242"/>
      <c r="J15" s="242"/>
      <c r="K15" s="242"/>
      <c r="L15" s="125"/>
      <c r="M15" s="9">
        <v>16</v>
      </c>
      <c r="N15" s="9"/>
      <c r="O15" s="9"/>
      <c r="P15" s="9"/>
      <c r="Q15" s="9"/>
      <c r="R15" s="9"/>
      <c r="S15" s="9"/>
      <c r="T15" s="9"/>
    </row>
    <row r="16" spans="2:20" hidden="1" x14ac:dyDescent="0.15">
      <c r="B16" s="237" t="s">
        <v>38</v>
      </c>
      <c r="C16" s="242"/>
      <c r="D16" s="242"/>
      <c r="E16" s="242"/>
      <c r="F16" s="242"/>
      <c r="G16" s="242"/>
      <c r="H16" s="242"/>
      <c r="I16" s="242"/>
      <c r="J16" s="242"/>
      <c r="K16" s="242"/>
      <c r="L16" s="125"/>
      <c r="M16" s="9">
        <v>17</v>
      </c>
      <c r="N16" s="9"/>
      <c r="O16" s="9"/>
      <c r="P16" s="9"/>
      <c r="Q16" s="9"/>
      <c r="R16" s="9"/>
      <c r="S16" s="9"/>
      <c r="T16" s="9"/>
    </row>
    <row r="17" spans="2:20" hidden="1" x14ac:dyDescent="0.15">
      <c r="B17" s="237" t="s">
        <v>39</v>
      </c>
      <c r="C17" s="242"/>
      <c r="D17" s="242"/>
      <c r="E17" s="242"/>
      <c r="F17" s="242"/>
      <c r="G17" s="242"/>
      <c r="H17" s="242"/>
      <c r="I17" s="242"/>
      <c r="J17" s="242"/>
      <c r="K17" s="242"/>
      <c r="L17" s="125"/>
      <c r="M17" s="9">
        <v>19</v>
      </c>
      <c r="N17" s="9"/>
      <c r="O17" s="9"/>
      <c r="P17" s="9"/>
      <c r="Q17" s="9"/>
      <c r="R17" s="9"/>
      <c r="S17" s="9"/>
      <c r="T17" s="9"/>
    </row>
    <row r="18" spans="2:20" hidden="1" x14ac:dyDescent="0.15">
      <c r="B18" s="237" t="s">
        <v>40</v>
      </c>
      <c r="C18" s="242"/>
      <c r="D18" s="242"/>
      <c r="E18" s="242"/>
      <c r="F18" s="242"/>
      <c r="G18" s="242"/>
      <c r="H18" s="242"/>
      <c r="I18" s="242"/>
      <c r="J18" s="242"/>
      <c r="K18" s="242"/>
      <c r="L18" s="125"/>
      <c r="M18" s="9">
        <v>21</v>
      </c>
      <c r="N18" s="9"/>
      <c r="O18" s="9"/>
      <c r="P18" s="9"/>
      <c r="Q18" s="9"/>
      <c r="R18" s="9"/>
      <c r="S18" s="9"/>
      <c r="T18" s="9"/>
    </row>
    <row r="19" spans="2:20" hidden="1" x14ac:dyDescent="0.15">
      <c r="B19" s="237" t="s">
        <v>41</v>
      </c>
      <c r="C19" s="242"/>
      <c r="D19" s="242"/>
      <c r="E19" s="242"/>
      <c r="F19" s="242"/>
      <c r="G19" s="242"/>
      <c r="H19" s="242"/>
      <c r="I19" s="242"/>
      <c r="J19" s="242"/>
      <c r="K19" s="242"/>
      <c r="L19" s="125"/>
      <c r="M19" s="9"/>
      <c r="N19" s="9"/>
      <c r="O19" s="9"/>
      <c r="P19" s="9"/>
      <c r="Q19" s="9"/>
      <c r="R19" s="9"/>
      <c r="S19" s="9"/>
      <c r="T19" s="9"/>
    </row>
    <row r="20" spans="2:20" hidden="1" x14ac:dyDescent="0.15">
      <c r="B20" s="237" t="s">
        <v>42</v>
      </c>
      <c r="C20" s="242"/>
      <c r="D20" s="242"/>
      <c r="E20" s="242"/>
      <c r="F20" s="242"/>
      <c r="G20" s="242"/>
      <c r="H20" s="242"/>
      <c r="I20" s="242"/>
      <c r="J20" s="242"/>
      <c r="K20" s="242"/>
      <c r="L20" s="125"/>
      <c r="M20" s="9"/>
      <c r="N20" s="9"/>
      <c r="O20" s="9"/>
      <c r="P20" s="9"/>
      <c r="Q20" s="9"/>
      <c r="R20" s="9"/>
      <c r="S20" s="9"/>
      <c r="T20" s="9"/>
    </row>
    <row r="21" spans="2:20" hidden="1" x14ac:dyDescent="0.15">
      <c r="B21" s="237" t="s">
        <v>43</v>
      </c>
      <c r="C21" s="242"/>
      <c r="D21" s="242"/>
      <c r="E21" s="242"/>
      <c r="F21" s="242"/>
      <c r="G21" s="242"/>
      <c r="H21" s="242"/>
      <c r="I21" s="242"/>
      <c r="J21" s="242"/>
      <c r="K21" s="242"/>
      <c r="L21" s="125"/>
      <c r="M21" s="9"/>
      <c r="N21" s="9"/>
      <c r="O21" s="9"/>
      <c r="P21" s="9"/>
      <c r="Q21" s="9"/>
      <c r="R21" s="9"/>
      <c r="S21" s="9"/>
      <c r="T21" s="9"/>
    </row>
    <row r="22" spans="2:20" hidden="1" x14ac:dyDescent="0.15">
      <c r="B22" s="237" t="s">
        <v>44</v>
      </c>
      <c r="C22" s="242"/>
      <c r="D22" s="242"/>
      <c r="E22" s="242"/>
      <c r="F22" s="242"/>
      <c r="G22" s="242"/>
      <c r="H22" s="242"/>
      <c r="I22" s="242"/>
      <c r="J22" s="242"/>
      <c r="K22" s="242"/>
      <c r="L22" s="125"/>
      <c r="M22" s="9"/>
      <c r="N22" s="9"/>
      <c r="O22" s="9"/>
      <c r="P22" s="9"/>
      <c r="Q22" s="9"/>
      <c r="R22" s="9"/>
      <c r="S22" s="9"/>
      <c r="T22" s="9"/>
    </row>
    <row r="23" spans="2:20" hidden="1" x14ac:dyDescent="0.15">
      <c r="B23" s="237" t="s">
        <v>45</v>
      </c>
      <c r="C23" s="242"/>
      <c r="D23" s="242"/>
      <c r="E23" s="242"/>
      <c r="F23" s="242"/>
      <c r="G23" s="242"/>
      <c r="H23" s="242"/>
      <c r="I23" s="242"/>
      <c r="J23" s="242"/>
      <c r="K23" s="242"/>
      <c r="L23" s="125"/>
      <c r="M23" s="9"/>
      <c r="N23" s="9"/>
      <c r="O23" s="9"/>
      <c r="P23" s="9"/>
      <c r="Q23" s="9"/>
      <c r="R23" s="9"/>
      <c r="S23" s="9"/>
      <c r="T23" s="9"/>
    </row>
    <row r="24" spans="2:20" hidden="1" x14ac:dyDescent="0.15">
      <c r="B24" s="237" t="s">
        <v>46</v>
      </c>
      <c r="C24" s="242"/>
      <c r="D24" s="242"/>
      <c r="E24" s="242"/>
      <c r="F24" s="242"/>
      <c r="G24" s="242"/>
      <c r="H24" s="242"/>
      <c r="I24" s="242"/>
      <c r="J24" s="242"/>
      <c r="K24" s="242"/>
      <c r="L24" s="125"/>
      <c r="M24" s="9"/>
      <c r="N24" s="9"/>
      <c r="O24" s="9"/>
      <c r="P24" s="9"/>
      <c r="Q24" s="9"/>
      <c r="R24" s="9"/>
      <c r="S24" s="9"/>
      <c r="T24" s="9"/>
    </row>
    <row r="25" spans="2:20" hidden="1" x14ac:dyDescent="0.15">
      <c r="B25" s="237" t="s">
        <v>47</v>
      </c>
      <c r="C25" s="242"/>
      <c r="D25" s="242"/>
      <c r="E25" s="242"/>
      <c r="F25" s="242"/>
      <c r="G25" s="242"/>
      <c r="H25" s="242"/>
      <c r="I25" s="242"/>
      <c r="J25" s="242"/>
      <c r="K25" s="242"/>
      <c r="L25" s="125"/>
      <c r="M25" s="9"/>
      <c r="N25" s="9"/>
      <c r="O25" s="9"/>
      <c r="P25" s="9"/>
      <c r="Q25" s="9"/>
      <c r="R25" s="9"/>
      <c r="S25" s="9"/>
      <c r="T25" s="9"/>
    </row>
    <row r="26" spans="2:20" hidden="1" x14ac:dyDescent="0.15">
      <c r="B26" s="237" t="s">
        <v>48</v>
      </c>
      <c r="C26" s="242"/>
      <c r="D26" s="242"/>
      <c r="E26" s="242"/>
      <c r="F26" s="242"/>
      <c r="G26" s="242"/>
      <c r="H26" s="242"/>
      <c r="I26" s="242"/>
      <c r="J26" s="242"/>
      <c r="K26" s="242"/>
      <c r="L26" s="125"/>
      <c r="M26" s="9"/>
      <c r="N26" s="9"/>
      <c r="O26" s="9"/>
      <c r="P26" s="9"/>
      <c r="Q26" s="9"/>
      <c r="R26" s="9"/>
      <c r="S26" s="9"/>
      <c r="T26" s="9"/>
    </row>
    <row r="27" spans="2:20" hidden="1" x14ac:dyDescent="0.15">
      <c r="B27" s="237" t="s">
        <v>49</v>
      </c>
      <c r="C27" s="242"/>
      <c r="D27" s="242"/>
      <c r="E27" s="242"/>
      <c r="F27" s="242"/>
      <c r="G27" s="242"/>
      <c r="H27" s="242"/>
      <c r="I27" s="242"/>
      <c r="J27" s="242"/>
      <c r="K27" s="242"/>
      <c r="L27" s="125"/>
      <c r="M27" s="9"/>
      <c r="N27" s="9"/>
      <c r="O27" s="9"/>
      <c r="P27" s="9"/>
      <c r="Q27" s="9"/>
      <c r="R27" s="9"/>
      <c r="S27" s="9"/>
      <c r="T27" s="9"/>
    </row>
    <row r="28" spans="2:20" hidden="1" x14ac:dyDescent="0.15">
      <c r="B28" s="237" t="s">
        <v>50</v>
      </c>
      <c r="C28" s="242"/>
      <c r="D28" s="242"/>
      <c r="E28" s="242"/>
      <c r="F28" s="242"/>
      <c r="G28" s="242"/>
      <c r="H28" s="242"/>
      <c r="I28" s="242"/>
      <c r="J28" s="242"/>
      <c r="K28" s="242"/>
      <c r="L28" s="125"/>
      <c r="M28" s="9"/>
      <c r="N28" s="9"/>
      <c r="O28" s="9"/>
      <c r="P28" s="9"/>
      <c r="Q28" s="9"/>
      <c r="R28" s="9"/>
      <c r="S28" s="9"/>
      <c r="T28" s="9"/>
    </row>
    <row r="29" spans="2:20" s="183" customFormat="1" ht="18.75" x14ac:dyDescent="0.4">
      <c r="B29" s="181" t="s">
        <v>51</v>
      </c>
      <c r="C29" s="243"/>
      <c r="D29" s="243">
        <v>233471</v>
      </c>
      <c r="E29" s="243">
        <v>313960</v>
      </c>
      <c r="F29" s="243"/>
      <c r="G29" s="243"/>
      <c r="H29" s="243"/>
      <c r="I29" s="243"/>
      <c r="J29" s="243"/>
      <c r="K29" s="243"/>
      <c r="L29" s="182"/>
      <c r="M29" s="244"/>
      <c r="N29" s="244"/>
      <c r="O29" s="244"/>
      <c r="P29" s="244"/>
      <c r="Q29" s="244"/>
      <c r="R29" s="244"/>
      <c r="S29" s="244"/>
      <c r="T29" s="244"/>
    </row>
    <row r="30" spans="2:20" s="183" customFormat="1" ht="18.75" x14ac:dyDescent="0.4">
      <c r="B30" s="181" t="s">
        <v>53</v>
      </c>
      <c r="C30" s="243">
        <v>398055</v>
      </c>
      <c r="D30" s="243">
        <v>298541</v>
      </c>
      <c r="E30" s="243">
        <v>317249</v>
      </c>
      <c r="F30" s="243">
        <v>26830</v>
      </c>
      <c r="G30" s="243">
        <v>31643</v>
      </c>
      <c r="H30" s="243">
        <v>-5511</v>
      </c>
      <c r="I30" s="243"/>
      <c r="J30" s="242">
        <f t="shared" ref="J30:J35" si="0">SUM(F30:H30)</f>
        <v>52962</v>
      </c>
      <c r="K30" s="242">
        <f t="shared" ref="K30:K58" si="1">D30+J30</f>
        <v>351503</v>
      </c>
      <c r="L30" s="182"/>
      <c r="M30" s="244"/>
      <c r="N30" s="244"/>
      <c r="O30" s="244"/>
      <c r="P30" s="244"/>
      <c r="Q30" s="244"/>
      <c r="R30" s="244"/>
      <c r="S30" s="244"/>
      <c r="T30" s="244"/>
    </row>
    <row r="31" spans="2:20" s="183" customFormat="1" ht="18.75" x14ac:dyDescent="0.4">
      <c r="B31" s="181" t="s">
        <v>54</v>
      </c>
      <c r="C31" s="243">
        <v>408870</v>
      </c>
      <c r="D31" s="243">
        <v>306653</v>
      </c>
      <c r="E31" s="243">
        <v>345892</v>
      </c>
      <c r="F31" s="243">
        <v>6236</v>
      </c>
      <c r="G31" s="243">
        <v>26830</v>
      </c>
      <c r="H31" s="243">
        <v>31643</v>
      </c>
      <c r="I31" s="243"/>
      <c r="J31" s="242">
        <f t="shared" si="0"/>
        <v>64709</v>
      </c>
      <c r="K31" s="242">
        <f t="shared" si="1"/>
        <v>371362</v>
      </c>
      <c r="L31" s="182"/>
      <c r="M31" s="244"/>
      <c r="N31" s="244"/>
      <c r="O31" s="244"/>
      <c r="P31" s="244"/>
      <c r="Q31" s="244"/>
      <c r="R31" s="244"/>
      <c r="S31" s="244"/>
      <c r="T31" s="244"/>
    </row>
    <row r="32" spans="2:20" s="183" customFormat="1" ht="18.75" x14ac:dyDescent="0.4">
      <c r="B32" s="181" t="s">
        <v>55</v>
      </c>
      <c r="C32" s="243">
        <v>371297</v>
      </c>
      <c r="D32" s="243">
        <v>278473</v>
      </c>
      <c r="E32" s="243">
        <v>261622</v>
      </c>
      <c r="F32" s="243">
        <v>13080</v>
      </c>
      <c r="G32" s="243">
        <v>6236</v>
      </c>
      <c r="H32" s="243">
        <v>26829</v>
      </c>
      <c r="I32" s="243"/>
      <c r="J32" s="242">
        <f t="shared" si="0"/>
        <v>46145</v>
      </c>
      <c r="K32" s="242">
        <f t="shared" si="1"/>
        <v>324618</v>
      </c>
      <c r="L32" s="182"/>
      <c r="M32" s="244"/>
      <c r="N32" s="244"/>
      <c r="O32" s="244"/>
      <c r="P32" s="244"/>
      <c r="Q32" s="244"/>
      <c r="R32" s="244"/>
      <c r="S32" s="244"/>
      <c r="T32" s="244"/>
    </row>
    <row r="33" spans="2:20" s="183" customFormat="1" ht="18.75" x14ac:dyDescent="0.4">
      <c r="B33" s="181" t="s">
        <v>56</v>
      </c>
      <c r="C33" s="243">
        <v>297511</v>
      </c>
      <c r="D33" s="243">
        <v>223133</v>
      </c>
      <c r="E33" s="243">
        <v>183434</v>
      </c>
      <c r="F33" s="243">
        <v>-5617</v>
      </c>
      <c r="G33" s="243">
        <v>6540</v>
      </c>
      <c r="H33" s="243">
        <v>6236</v>
      </c>
      <c r="I33" s="243"/>
      <c r="J33" s="242">
        <f t="shared" si="0"/>
        <v>7159</v>
      </c>
      <c r="K33" s="242">
        <f t="shared" si="1"/>
        <v>230292</v>
      </c>
      <c r="L33" s="182"/>
      <c r="M33" s="244"/>
      <c r="N33" s="244"/>
      <c r="O33" s="244"/>
      <c r="P33" s="244"/>
      <c r="Q33" s="244"/>
      <c r="R33" s="244"/>
      <c r="S33" s="244"/>
      <c r="T33" s="244"/>
    </row>
    <row r="34" spans="2:20" s="183" customFormat="1" ht="18.75" x14ac:dyDescent="0.4">
      <c r="B34" s="181" t="s">
        <v>57</v>
      </c>
      <c r="C34" s="243">
        <v>285843</v>
      </c>
      <c r="D34" s="243">
        <v>214382</v>
      </c>
      <c r="E34" s="243">
        <v>224124</v>
      </c>
      <c r="F34" s="243">
        <v>-13233</v>
      </c>
      <c r="G34" s="243">
        <v>-5617</v>
      </c>
      <c r="H34" s="243">
        <v>19619</v>
      </c>
      <c r="I34" s="243"/>
      <c r="J34" s="242">
        <f>SUM(F34:H34)+45</f>
        <v>814</v>
      </c>
      <c r="K34" s="242">
        <f t="shared" si="1"/>
        <v>215196</v>
      </c>
      <c r="L34" s="182"/>
      <c r="M34" s="244"/>
      <c r="N34" s="244"/>
      <c r="O34" s="244"/>
      <c r="P34" s="244"/>
      <c r="Q34" s="244"/>
      <c r="R34" s="244"/>
      <c r="S34" s="244"/>
      <c r="T34" s="244"/>
    </row>
    <row r="35" spans="2:20" s="183" customFormat="1" ht="18.75" x14ac:dyDescent="0.4">
      <c r="B35" s="358" t="s">
        <v>58</v>
      </c>
      <c r="C35" s="359">
        <v>331369</v>
      </c>
      <c r="D35" s="359">
        <v>248527</v>
      </c>
      <c r="E35" s="359">
        <v>290698</v>
      </c>
      <c r="F35" s="359">
        <v>3248</v>
      </c>
      <c r="G35" s="359">
        <v>-26466</v>
      </c>
      <c r="H35" s="359">
        <v>-5617</v>
      </c>
      <c r="I35" s="359"/>
      <c r="J35" s="245">
        <f t="shared" si="0"/>
        <v>-28835</v>
      </c>
      <c r="K35" s="245">
        <f t="shared" si="1"/>
        <v>219692</v>
      </c>
      <c r="L35" s="360"/>
      <c r="M35" s="244"/>
      <c r="N35" s="244"/>
      <c r="O35" s="244"/>
      <c r="P35" s="244"/>
      <c r="Q35" s="244"/>
      <c r="R35" s="244"/>
      <c r="S35" s="244"/>
      <c r="T35" s="244"/>
    </row>
    <row r="36" spans="2:20" x14ac:dyDescent="0.15">
      <c r="B36" s="300" t="s">
        <v>59</v>
      </c>
      <c r="C36" s="245">
        <v>389649</v>
      </c>
      <c r="D36" s="245">
        <v>292237</v>
      </c>
      <c r="E36" s="245">
        <v>382874</v>
      </c>
      <c r="F36" s="245">
        <v>14057</v>
      </c>
      <c r="G36" s="245">
        <v>3247</v>
      </c>
      <c r="H36" s="245">
        <v>0</v>
      </c>
      <c r="I36" s="245"/>
      <c r="J36" s="245">
        <f t="shared" ref="J36:J43" si="2">SUM(F36:H36)</f>
        <v>17304</v>
      </c>
      <c r="K36" s="245">
        <f t="shared" si="1"/>
        <v>309541</v>
      </c>
      <c r="L36" s="361"/>
      <c r="M36" s="9"/>
      <c r="N36" s="9"/>
      <c r="O36" s="9"/>
      <c r="P36" s="9"/>
      <c r="Q36" s="9"/>
      <c r="R36" s="9"/>
      <c r="S36" s="9"/>
      <c r="T36" s="9"/>
    </row>
    <row r="37" spans="2:20" x14ac:dyDescent="0.15">
      <c r="B37" s="300" t="s">
        <v>60</v>
      </c>
      <c r="C37" s="245">
        <v>547388</v>
      </c>
      <c r="D37" s="245">
        <v>410541</v>
      </c>
      <c r="E37" s="245">
        <v>352480</v>
      </c>
      <c r="F37" s="245">
        <v>30213</v>
      </c>
      <c r="G37" s="245">
        <v>14057</v>
      </c>
      <c r="H37" s="245">
        <v>3247</v>
      </c>
      <c r="I37" s="245"/>
      <c r="J37" s="245">
        <f t="shared" si="2"/>
        <v>47517</v>
      </c>
      <c r="K37" s="245">
        <f t="shared" si="1"/>
        <v>458058</v>
      </c>
      <c r="L37" s="361"/>
      <c r="M37" s="9"/>
      <c r="N37" s="9"/>
      <c r="O37" s="9"/>
      <c r="P37" s="9"/>
      <c r="Q37" s="9"/>
      <c r="R37" s="9"/>
      <c r="S37" s="9"/>
      <c r="T37" s="9"/>
    </row>
    <row r="38" spans="2:20" ht="13.5" x14ac:dyDescent="0.15">
      <c r="B38" s="300" t="s">
        <v>62</v>
      </c>
      <c r="C38" s="245">
        <v>555501</v>
      </c>
      <c r="D38" s="245">
        <v>416626</v>
      </c>
      <c r="E38" s="245">
        <v>729017</v>
      </c>
      <c r="F38" s="359">
        <v>-19354</v>
      </c>
      <c r="G38" s="245">
        <v>30212</v>
      </c>
      <c r="H38" s="245">
        <v>14057</v>
      </c>
      <c r="I38" s="245"/>
      <c r="J38" s="245">
        <f t="shared" si="2"/>
        <v>24915</v>
      </c>
      <c r="K38" s="245">
        <f t="shared" si="1"/>
        <v>441541</v>
      </c>
      <c r="L38" s="361"/>
      <c r="M38" s="9"/>
      <c r="N38" s="9"/>
      <c r="O38" s="9"/>
      <c r="P38" s="9"/>
      <c r="Q38" s="9"/>
      <c r="R38" s="9"/>
      <c r="S38" s="9"/>
      <c r="T38" s="9"/>
    </row>
    <row r="39" spans="2:20" ht="13.5" x14ac:dyDescent="0.15">
      <c r="B39" s="300" t="s">
        <v>63</v>
      </c>
      <c r="C39" s="245">
        <v>924270</v>
      </c>
      <c r="D39" s="359">
        <v>693203</v>
      </c>
      <c r="E39" s="359">
        <v>286631</v>
      </c>
      <c r="F39" s="359">
        <v>104131</v>
      </c>
      <c r="G39" s="359">
        <v>-19354</v>
      </c>
      <c r="H39" s="359">
        <v>30212</v>
      </c>
      <c r="I39" s="359"/>
      <c r="J39" s="245">
        <f t="shared" si="2"/>
        <v>114989</v>
      </c>
      <c r="K39" s="245">
        <f t="shared" si="1"/>
        <v>808192</v>
      </c>
      <c r="L39" s="361"/>
      <c r="M39" s="9"/>
      <c r="N39" s="9"/>
      <c r="O39" s="9"/>
      <c r="P39" s="9"/>
      <c r="Q39" s="9"/>
      <c r="R39" s="9"/>
      <c r="S39" s="9"/>
      <c r="T39" s="9"/>
    </row>
    <row r="40" spans="2:20" ht="13.5" x14ac:dyDescent="0.15">
      <c r="B40" s="300" t="s">
        <v>64</v>
      </c>
      <c r="C40" s="245">
        <v>367689</v>
      </c>
      <c r="D40" s="245">
        <v>275767</v>
      </c>
      <c r="E40" s="245">
        <v>497994</v>
      </c>
      <c r="F40" s="359">
        <v>-135524</v>
      </c>
      <c r="G40" s="359">
        <v>104130</v>
      </c>
      <c r="H40" s="359">
        <v>-19353</v>
      </c>
      <c r="I40" s="359"/>
      <c r="J40" s="245">
        <f t="shared" si="2"/>
        <v>-50747</v>
      </c>
      <c r="K40" s="245">
        <f t="shared" si="1"/>
        <v>225020</v>
      </c>
      <c r="L40" s="361"/>
      <c r="M40" s="9"/>
      <c r="N40" s="9"/>
      <c r="O40" s="9"/>
      <c r="P40" s="9"/>
      <c r="Q40" s="9"/>
      <c r="R40" s="9"/>
      <c r="S40" s="9"/>
      <c r="T40" s="9"/>
    </row>
    <row r="41" spans="2:20" ht="13.5" x14ac:dyDescent="0.15">
      <c r="B41" s="300" t="s">
        <v>65</v>
      </c>
      <c r="C41" s="359">
        <v>700726</v>
      </c>
      <c r="D41" s="362">
        <v>525545</v>
      </c>
      <c r="E41" s="362">
        <v>504587</v>
      </c>
      <c r="F41" s="359">
        <v>74076</v>
      </c>
      <c r="G41" s="359">
        <v>-135524</v>
      </c>
      <c r="H41" s="359">
        <v>104130</v>
      </c>
      <c r="I41" s="359"/>
      <c r="J41" s="245">
        <f t="shared" si="2"/>
        <v>42682</v>
      </c>
      <c r="K41" s="245">
        <f t="shared" si="1"/>
        <v>568227</v>
      </c>
      <c r="L41" s="361"/>
      <c r="M41" s="9"/>
      <c r="N41" s="9"/>
      <c r="O41" s="9"/>
      <c r="P41" s="9"/>
      <c r="Q41" s="9"/>
      <c r="R41" s="9"/>
      <c r="S41" s="9"/>
      <c r="T41" s="9"/>
    </row>
    <row r="42" spans="2:20" ht="13.5" x14ac:dyDescent="0.15">
      <c r="B42" s="300" t="s">
        <v>66</v>
      </c>
      <c r="C42" s="245">
        <v>713159</v>
      </c>
      <c r="D42" s="362">
        <v>534869</v>
      </c>
      <c r="E42" s="362">
        <v>19792</v>
      </c>
      <c r="F42" s="359">
        <v>-6986</v>
      </c>
      <c r="G42" s="245">
        <v>74076</v>
      </c>
      <c r="H42" s="359">
        <v>-135524</v>
      </c>
      <c r="I42" s="359"/>
      <c r="J42" s="245">
        <f t="shared" si="2"/>
        <v>-68434</v>
      </c>
      <c r="K42" s="245">
        <f t="shared" si="1"/>
        <v>466435</v>
      </c>
      <c r="L42" s="361"/>
      <c r="M42" s="9"/>
      <c r="N42" s="9"/>
      <c r="O42" s="9"/>
      <c r="P42" s="9"/>
      <c r="Q42" s="9"/>
      <c r="R42" s="9"/>
      <c r="S42" s="9"/>
      <c r="T42" s="9"/>
    </row>
    <row r="43" spans="2:20" ht="13.5" x14ac:dyDescent="0.15">
      <c r="B43" s="300" t="s">
        <v>67</v>
      </c>
      <c r="C43" s="245">
        <v>28392</v>
      </c>
      <c r="D43" s="362">
        <v>21294</v>
      </c>
      <c r="E43" s="362">
        <v>136514</v>
      </c>
      <c r="F43" s="359">
        <v>-171692</v>
      </c>
      <c r="G43" s="359">
        <v>-6986</v>
      </c>
      <c r="H43" s="359">
        <v>74075</v>
      </c>
      <c r="I43" s="359"/>
      <c r="J43" s="245">
        <f t="shared" si="2"/>
        <v>-104603</v>
      </c>
      <c r="K43" s="245">
        <f t="shared" si="1"/>
        <v>-83309</v>
      </c>
      <c r="L43" s="361" t="s">
        <v>233</v>
      </c>
      <c r="M43" s="9"/>
      <c r="N43" s="9"/>
      <c r="O43" s="9"/>
      <c r="P43" s="9"/>
      <c r="Q43" s="9"/>
      <c r="R43" s="9"/>
      <c r="S43" s="9"/>
      <c r="T43" s="9"/>
    </row>
    <row r="44" spans="2:20" ht="13.5" x14ac:dyDescent="0.15">
      <c r="B44" s="300" t="s">
        <v>68</v>
      </c>
      <c r="C44" s="245">
        <v>191144</v>
      </c>
      <c r="D44" s="362">
        <v>143358</v>
      </c>
      <c r="E44" s="245">
        <v>210524</v>
      </c>
      <c r="F44" s="359">
        <v>38407</v>
      </c>
      <c r="G44" s="359">
        <v>-171692</v>
      </c>
      <c r="H44" s="359">
        <v>-6986</v>
      </c>
      <c r="I44" s="359">
        <v>-48310</v>
      </c>
      <c r="J44" s="245">
        <f t="shared" ref="J44:J63" si="3">SUM(F44:I44)</f>
        <v>-188581</v>
      </c>
      <c r="K44" s="245">
        <f t="shared" si="1"/>
        <v>-45223</v>
      </c>
      <c r="L44" s="361" t="s">
        <v>233</v>
      </c>
      <c r="M44" s="9"/>
      <c r="N44" s="9"/>
      <c r="O44" s="9"/>
      <c r="P44" s="9"/>
      <c r="Q44" s="9"/>
      <c r="R44" s="9"/>
      <c r="S44" s="9"/>
      <c r="T44" s="9"/>
    </row>
    <row r="45" spans="2:20" x14ac:dyDescent="0.15">
      <c r="B45" s="300" t="s">
        <v>69</v>
      </c>
      <c r="C45" s="245">
        <v>311478</v>
      </c>
      <c r="D45" s="245">
        <v>233609</v>
      </c>
      <c r="E45" s="245">
        <v>207985</v>
      </c>
      <c r="F45" s="245">
        <v>22389</v>
      </c>
      <c r="G45" s="245">
        <v>38407</v>
      </c>
      <c r="H45" s="245">
        <v>-171692</v>
      </c>
      <c r="I45" s="245">
        <v>-10223</v>
      </c>
      <c r="J45" s="245">
        <f t="shared" si="3"/>
        <v>-121119</v>
      </c>
      <c r="K45" s="245">
        <f t="shared" si="1"/>
        <v>112490</v>
      </c>
      <c r="L45" s="363"/>
      <c r="M45" s="9"/>
      <c r="N45" s="9"/>
      <c r="O45" s="9"/>
      <c r="P45" s="9"/>
      <c r="Q45" s="9"/>
      <c r="R45" s="9"/>
      <c r="S45" s="9"/>
      <c r="T45" s="9"/>
    </row>
    <row r="46" spans="2:20" x14ac:dyDescent="0.15">
      <c r="B46" s="300" t="s">
        <v>70</v>
      </c>
      <c r="C46" s="245">
        <v>299333</v>
      </c>
      <c r="D46" s="245">
        <v>224500</v>
      </c>
      <c r="E46" s="245">
        <v>307239</v>
      </c>
      <c r="F46" s="245">
        <v>-8542</v>
      </c>
      <c r="G46" s="245">
        <v>22389</v>
      </c>
      <c r="H46" s="245">
        <v>38406</v>
      </c>
      <c r="I46" s="245">
        <v>2</v>
      </c>
      <c r="J46" s="245">
        <f t="shared" si="3"/>
        <v>52255</v>
      </c>
      <c r="K46" s="245">
        <f t="shared" si="1"/>
        <v>276755</v>
      </c>
      <c r="L46" s="361"/>
      <c r="M46" s="9"/>
      <c r="N46" s="9"/>
      <c r="O46" s="9"/>
      <c r="P46" s="9"/>
      <c r="Q46" s="9"/>
      <c r="R46" s="9"/>
      <c r="S46" s="9"/>
      <c r="T46" s="9"/>
    </row>
    <row r="47" spans="2:20" x14ac:dyDescent="0.15">
      <c r="B47" s="300" t="s">
        <v>217</v>
      </c>
      <c r="C47" s="245">
        <v>473117</v>
      </c>
      <c r="D47" s="245">
        <v>354838</v>
      </c>
      <c r="E47" s="245">
        <v>305134</v>
      </c>
      <c r="F47" s="245">
        <v>27580</v>
      </c>
      <c r="G47" s="245">
        <v>-8541</v>
      </c>
      <c r="H47" s="245">
        <v>22388</v>
      </c>
      <c r="I47" s="245"/>
      <c r="J47" s="245">
        <f t="shared" si="3"/>
        <v>41427</v>
      </c>
      <c r="K47" s="245">
        <f t="shared" si="1"/>
        <v>396265</v>
      </c>
      <c r="L47" s="361"/>
      <c r="M47" s="9"/>
      <c r="N47" s="9"/>
      <c r="O47" s="9"/>
      <c r="P47" s="9"/>
      <c r="Q47" s="9"/>
      <c r="R47" s="9"/>
      <c r="S47" s="9"/>
      <c r="T47" s="9"/>
    </row>
    <row r="48" spans="2:20" x14ac:dyDescent="0.15">
      <c r="B48" s="300" t="s">
        <v>131</v>
      </c>
      <c r="C48" s="245">
        <v>439342</v>
      </c>
      <c r="D48" s="245">
        <v>329507</v>
      </c>
      <c r="E48" s="245">
        <v>264828</v>
      </c>
      <c r="F48" s="245">
        <v>-16568</v>
      </c>
      <c r="G48" s="245">
        <v>27580</v>
      </c>
      <c r="H48" s="245">
        <v>-8541</v>
      </c>
      <c r="I48" s="245"/>
      <c r="J48" s="245">
        <f t="shared" si="3"/>
        <v>2471</v>
      </c>
      <c r="K48" s="245">
        <f t="shared" si="1"/>
        <v>331978</v>
      </c>
      <c r="L48" s="361"/>
      <c r="M48" s="9"/>
      <c r="N48" s="9"/>
      <c r="O48" s="9"/>
      <c r="P48" s="9"/>
      <c r="Q48" s="9"/>
      <c r="R48" s="9"/>
      <c r="S48" s="9"/>
      <c r="T48" s="9"/>
    </row>
    <row r="49" spans="2:20" x14ac:dyDescent="0.15">
      <c r="B49" s="300" t="s">
        <v>132</v>
      </c>
      <c r="C49" s="245">
        <v>280382</v>
      </c>
      <c r="D49" s="245">
        <v>210287</v>
      </c>
      <c r="E49" s="245">
        <v>65842</v>
      </c>
      <c r="F49" s="245">
        <v>-21560</v>
      </c>
      <c r="G49" s="245">
        <v>-16568</v>
      </c>
      <c r="H49" s="245">
        <v>27579</v>
      </c>
      <c r="I49" s="245">
        <v>974</v>
      </c>
      <c r="J49" s="245">
        <f t="shared" si="3"/>
        <v>-9575</v>
      </c>
      <c r="K49" s="245">
        <f t="shared" si="1"/>
        <v>200712</v>
      </c>
      <c r="L49" s="361"/>
      <c r="M49" s="9"/>
      <c r="N49" s="9"/>
      <c r="O49" s="9"/>
      <c r="P49" s="9"/>
      <c r="Q49" s="9"/>
      <c r="R49" s="9"/>
      <c r="S49" s="9"/>
      <c r="T49" s="9"/>
    </row>
    <row r="50" spans="2:20" x14ac:dyDescent="0.15">
      <c r="B50" s="300" t="s">
        <v>133</v>
      </c>
      <c r="C50" s="245">
        <v>19689</v>
      </c>
      <c r="D50" s="245">
        <v>14767</v>
      </c>
      <c r="E50" s="245">
        <v>80866</v>
      </c>
      <c r="F50" s="245">
        <v>-48149</v>
      </c>
      <c r="G50" s="245">
        <v>-21559</v>
      </c>
      <c r="H50" s="245">
        <v>-16560</v>
      </c>
      <c r="I50" s="245"/>
      <c r="J50" s="245">
        <f t="shared" si="3"/>
        <v>-86268</v>
      </c>
      <c r="K50" s="245">
        <f t="shared" si="1"/>
        <v>-71501</v>
      </c>
      <c r="L50" s="361"/>
      <c r="M50" s="9"/>
      <c r="N50" s="9"/>
      <c r="O50" s="9"/>
      <c r="P50" s="9"/>
      <c r="Q50" s="9"/>
      <c r="R50" s="9"/>
      <c r="S50" s="9"/>
      <c r="T50" s="9"/>
    </row>
    <row r="51" spans="2:20" x14ac:dyDescent="0.15">
      <c r="B51" s="300" t="s">
        <v>218</v>
      </c>
      <c r="C51" s="245">
        <v>104722</v>
      </c>
      <c r="D51" s="245">
        <v>78542</v>
      </c>
      <c r="E51" s="245">
        <v>144460</v>
      </c>
      <c r="F51" s="245">
        <v>22033</v>
      </c>
      <c r="G51" s="245">
        <v>-48148</v>
      </c>
      <c r="H51" s="245">
        <v>-21559</v>
      </c>
      <c r="I51" s="245">
        <v>-21510</v>
      </c>
      <c r="J51" s="245">
        <f>SUM(F51:I51)</f>
        <v>-69184</v>
      </c>
      <c r="K51" s="245">
        <f>D51+J51</f>
        <v>9358</v>
      </c>
      <c r="L51" s="361"/>
      <c r="M51" s="9"/>
      <c r="N51" s="9"/>
      <c r="O51" s="9"/>
      <c r="P51" s="9"/>
      <c r="Q51" s="9"/>
      <c r="R51" s="9"/>
      <c r="S51" s="9"/>
      <c r="T51" s="9"/>
    </row>
    <row r="52" spans="2:20" x14ac:dyDescent="0.15">
      <c r="B52" s="300" t="s">
        <v>135</v>
      </c>
      <c r="C52" s="245">
        <v>200223</v>
      </c>
      <c r="D52" s="245">
        <v>150167</v>
      </c>
      <c r="E52" s="245">
        <v>166165</v>
      </c>
      <c r="F52" s="245">
        <v>21973</v>
      </c>
      <c r="G52" s="245">
        <v>22033</v>
      </c>
      <c r="H52" s="245">
        <v>-48148</v>
      </c>
      <c r="I52" s="245">
        <v>-2</v>
      </c>
      <c r="J52" s="245">
        <f>SUM(F52:I52)</f>
        <v>-4144</v>
      </c>
      <c r="K52" s="245">
        <f>D52+J52</f>
        <v>146023</v>
      </c>
      <c r="L52" s="361"/>
      <c r="M52" s="9"/>
      <c r="N52" s="9"/>
      <c r="O52" s="9"/>
      <c r="P52" s="9"/>
      <c r="Q52" s="9"/>
      <c r="R52" s="9"/>
      <c r="S52" s="9"/>
      <c r="T52" s="9"/>
    </row>
    <row r="53" spans="2:20" x14ac:dyDescent="0.15">
      <c r="B53" s="300" t="s">
        <v>136</v>
      </c>
      <c r="C53" s="245">
        <v>217165</v>
      </c>
      <c r="D53" s="245">
        <v>162874</v>
      </c>
      <c r="E53" s="245">
        <v>104433</v>
      </c>
      <c r="F53" s="245">
        <v>5333</v>
      </c>
      <c r="G53" s="245">
        <v>21973</v>
      </c>
      <c r="H53" s="245">
        <v>22033</v>
      </c>
      <c r="I53" s="245"/>
      <c r="J53" s="245">
        <f t="shared" si="3"/>
        <v>49339</v>
      </c>
      <c r="K53" s="245">
        <f t="shared" si="1"/>
        <v>212213</v>
      </c>
      <c r="L53" s="361"/>
      <c r="M53" s="9"/>
      <c r="N53" s="9"/>
      <c r="O53" s="9"/>
      <c r="P53" s="9"/>
      <c r="Q53" s="9"/>
      <c r="R53" s="9"/>
      <c r="S53" s="9"/>
      <c r="T53" s="9"/>
    </row>
    <row r="54" spans="2:20" x14ac:dyDescent="0.15">
      <c r="B54" s="300" t="s">
        <v>137</v>
      </c>
      <c r="C54" s="245">
        <v>150372</v>
      </c>
      <c r="D54" s="245">
        <v>112779</v>
      </c>
      <c r="E54" s="245">
        <v>302766</v>
      </c>
      <c r="F54" s="245">
        <v>-19481</v>
      </c>
      <c r="G54" s="245">
        <v>5333</v>
      </c>
      <c r="H54" s="245">
        <v>21972</v>
      </c>
      <c r="I54" s="245"/>
      <c r="J54" s="245">
        <f t="shared" si="3"/>
        <v>7824</v>
      </c>
      <c r="K54" s="245">
        <f t="shared" si="1"/>
        <v>120603</v>
      </c>
      <c r="L54" s="361"/>
      <c r="M54" s="9"/>
      <c r="N54" s="9"/>
      <c r="O54" s="9"/>
      <c r="P54" s="9"/>
      <c r="Q54" s="9"/>
      <c r="R54" s="9"/>
      <c r="S54" s="9"/>
      <c r="T54" s="9"/>
    </row>
    <row r="55" spans="2:20" x14ac:dyDescent="0.15">
      <c r="B55" s="300" t="s">
        <v>138</v>
      </c>
      <c r="C55" s="245">
        <v>371468</v>
      </c>
      <c r="D55" s="245">
        <v>278601</v>
      </c>
      <c r="E55" s="245">
        <v>190948</v>
      </c>
      <c r="F55" s="245">
        <v>63329</v>
      </c>
      <c r="G55" s="245">
        <v>-19480</v>
      </c>
      <c r="H55" s="245">
        <v>5332</v>
      </c>
      <c r="I55" s="245"/>
      <c r="J55" s="245">
        <f t="shared" si="3"/>
        <v>49181</v>
      </c>
      <c r="K55" s="245">
        <f t="shared" si="1"/>
        <v>327782</v>
      </c>
      <c r="L55" s="361"/>
      <c r="M55" s="9"/>
      <c r="N55" s="9"/>
      <c r="O55" s="9"/>
      <c r="P55" s="9"/>
      <c r="Q55" s="9"/>
      <c r="R55" s="9"/>
      <c r="S55" s="9"/>
      <c r="T55" s="9"/>
    </row>
    <row r="56" spans="2:20" x14ac:dyDescent="0.15">
      <c r="B56" s="300" t="s">
        <v>139</v>
      </c>
      <c r="C56" s="245">
        <v>239507</v>
      </c>
      <c r="D56" s="245">
        <v>179630</v>
      </c>
      <c r="E56" s="245">
        <v>162161</v>
      </c>
      <c r="F56" s="245">
        <v>-29218</v>
      </c>
      <c r="G56" s="245">
        <v>63329</v>
      </c>
      <c r="H56" s="245">
        <v>-19480</v>
      </c>
      <c r="I56" s="245"/>
      <c r="J56" s="245">
        <f t="shared" si="3"/>
        <v>14631</v>
      </c>
      <c r="K56" s="245">
        <f t="shared" si="1"/>
        <v>194261</v>
      </c>
      <c r="L56" s="361"/>
      <c r="M56" s="9"/>
      <c r="N56" s="9"/>
      <c r="O56" s="9"/>
      <c r="P56" s="9"/>
      <c r="Q56" s="9"/>
      <c r="R56" s="9"/>
      <c r="S56" s="9"/>
      <c r="T56" s="9"/>
    </row>
    <row r="57" spans="2:20" x14ac:dyDescent="0.15">
      <c r="B57" s="300" t="s">
        <v>140</v>
      </c>
      <c r="C57" s="245">
        <v>231248</v>
      </c>
      <c r="D57" s="245">
        <v>173436</v>
      </c>
      <c r="E57" s="245">
        <v>163356</v>
      </c>
      <c r="F57" s="245">
        <v>-5823</v>
      </c>
      <c r="G57" s="245">
        <v>-29218</v>
      </c>
      <c r="H57" s="245">
        <v>63329</v>
      </c>
      <c r="I57" s="245"/>
      <c r="J57" s="245">
        <f t="shared" si="3"/>
        <v>28288</v>
      </c>
      <c r="K57" s="245">
        <f t="shared" si="1"/>
        <v>201724</v>
      </c>
      <c r="L57" s="361"/>
      <c r="M57" s="9"/>
      <c r="N57" s="9"/>
      <c r="O57" s="9"/>
      <c r="P57" s="9"/>
      <c r="Q57" s="9"/>
      <c r="R57" s="9"/>
      <c r="S57" s="9"/>
      <c r="T57" s="9"/>
    </row>
    <row r="58" spans="2:20" x14ac:dyDescent="0.15">
      <c r="B58" s="300" t="s">
        <v>141</v>
      </c>
      <c r="C58" s="245">
        <v>246018</v>
      </c>
      <c r="D58" s="245">
        <v>184514</v>
      </c>
      <c r="E58" s="245">
        <v>224923</v>
      </c>
      <c r="F58" s="245">
        <v>-3360</v>
      </c>
      <c r="G58" s="245">
        <f>F57</f>
        <v>-5823</v>
      </c>
      <c r="H58" s="245">
        <f>G57+1</f>
        <v>-29217</v>
      </c>
      <c r="I58" s="245"/>
      <c r="J58" s="245">
        <f t="shared" si="3"/>
        <v>-38400</v>
      </c>
      <c r="K58" s="245">
        <f t="shared" si="1"/>
        <v>146114</v>
      </c>
      <c r="L58" s="361"/>
      <c r="M58" s="9"/>
      <c r="N58" s="9"/>
      <c r="O58" s="9"/>
      <c r="P58" s="9"/>
      <c r="Q58" s="9"/>
      <c r="R58" s="9"/>
      <c r="S58" s="9"/>
      <c r="T58" s="9"/>
    </row>
    <row r="59" spans="2:20" ht="12" customHeight="1" x14ac:dyDescent="0.15">
      <c r="B59" s="364" t="s">
        <v>142</v>
      </c>
      <c r="C59" s="245">
        <v>305698</v>
      </c>
      <c r="D59" s="245">
        <v>229274</v>
      </c>
      <c r="E59" s="245">
        <v>124451</v>
      </c>
      <c r="F59" s="245">
        <v>13470</v>
      </c>
      <c r="G59" s="245">
        <v>-3360</v>
      </c>
      <c r="H59" s="245">
        <v>-5823</v>
      </c>
      <c r="I59" s="245"/>
      <c r="J59" s="245">
        <f t="shared" si="3"/>
        <v>4287</v>
      </c>
      <c r="K59" s="245">
        <f>D59+J59</f>
        <v>233561</v>
      </c>
      <c r="L59" s="361"/>
      <c r="M59" s="9"/>
      <c r="N59" s="9"/>
      <c r="O59" s="9"/>
      <c r="P59" s="9"/>
      <c r="Q59" s="9"/>
      <c r="R59" s="9"/>
      <c r="S59" s="9"/>
      <c r="T59" s="9"/>
    </row>
    <row r="60" spans="2:20" ht="12" customHeight="1" x14ac:dyDescent="0.15">
      <c r="B60" s="365" t="s">
        <v>143</v>
      </c>
      <c r="C60" s="246">
        <v>133720</v>
      </c>
      <c r="D60" s="246">
        <v>100290</v>
      </c>
      <c r="E60" s="245">
        <v>122804</v>
      </c>
      <c r="F60" s="246">
        <v>-34941</v>
      </c>
      <c r="G60" s="246">
        <v>13470</v>
      </c>
      <c r="H60" s="246">
        <v>-3360</v>
      </c>
      <c r="I60" s="246"/>
      <c r="J60" s="245">
        <f t="shared" si="3"/>
        <v>-24831</v>
      </c>
      <c r="K60" s="245">
        <f>D60+J60</f>
        <v>75459</v>
      </c>
      <c r="L60" s="366"/>
      <c r="M60" s="9"/>
      <c r="N60" s="9"/>
      <c r="O60" s="9"/>
      <c r="P60" s="9"/>
      <c r="Q60" s="9"/>
      <c r="R60" s="9"/>
      <c r="S60" s="9"/>
      <c r="T60" s="9"/>
    </row>
    <row r="61" spans="2:20" ht="12" customHeight="1" x14ac:dyDescent="0.15">
      <c r="B61" s="365" t="s">
        <v>144</v>
      </c>
      <c r="C61" s="246">
        <v>106713</v>
      </c>
      <c r="D61" s="246">
        <v>80035</v>
      </c>
      <c r="E61" s="247">
        <v>82504</v>
      </c>
      <c r="F61" s="246">
        <v>7505</v>
      </c>
      <c r="G61" s="246">
        <v>-34941</v>
      </c>
      <c r="H61" s="246">
        <v>13469</v>
      </c>
      <c r="I61" s="246">
        <v>-1</v>
      </c>
      <c r="J61" s="245">
        <f t="shared" si="3"/>
        <v>-13968</v>
      </c>
      <c r="K61" s="245">
        <f>D61+J61</f>
        <v>66067</v>
      </c>
      <c r="L61" s="366"/>
    </row>
    <row r="62" spans="2:20" x14ac:dyDescent="0.15">
      <c r="B62" s="367" t="s">
        <v>234</v>
      </c>
      <c r="C62" s="248">
        <v>110698</v>
      </c>
      <c r="D62" s="248">
        <v>83021</v>
      </c>
      <c r="E62" s="249"/>
      <c r="F62" s="248">
        <v>157</v>
      </c>
      <c r="G62" s="250">
        <v>7505</v>
      </c>
      <c r="H62" s="250">
        <v>-34941</v>
      </c>
      <c r="I62" s="250"/>
      <c r="J62" s="250">
        <f t="shared" si="3"/>
        <v>-27279</v>
      </c>
      <c r="K62" s="250">
        <f>D62+J62</f>
        <v>55742</v>
      </c>
      <c r="L62" s="368"/>
    </row>
    <row r="63" spans="2:20" x14ac:dyDescent="0.15">
      <c r="B63" s="367" t="s">
        <v>235</v>
      </c>
      <c r="C63" s="249"/>
      <c r="D63" s="249"/>
      <c r="E63" s="249"/>
      <c r="F63" s="249"/>
      <c r="G63" s="250">
        <v>157</v>
      </c>
      <c r="H63" s="250">
        <v>7505</v>
      </c>
      <c r="I63" s="250"/>
      <c r="J63" s="250">
        <f t="shared" si="3"/>
        <v>7662</v>
      </c>
      <c r="K63" s="250">
        <f>D63+J63</f>
        <v>7662</v>
      </c>
      <c r="L63" s="368"/>
    </row>
    <row r="66" spans="7:7" x14ac:dyDescent="0.15">
      <c r="G66" s="251"/>
    </row>
  </sheetData>
  <phoneticPr fontId="3"/>
  <printOptions horizontalCentered="1"/>
  <pageMargins left="0.39370078740157483" right="0.39370078740157483" top="0.98425196850393704" bottom="0.78740157480314965" header="0.51181102362204722" footer="0.51181102362204722"/>
  <pageSetup paperSize="9" scale="90" fitToHeight="0" orientation="landscape" r:id="rId1"/>
  <headerFooter alignWithMargins="0"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63"/>
  <sheetViews>
    <sheetView view="pageBreakPreview" zoomScale="106" zoomScaleNormal="100" zoomScaleSheetLayoutView="106" workbookViewId="0">
      <pane xSplit="2" ySplit="6" topLeftCell="C42" activePane="bottomRight" state="frozen"/>
      <selection activeCell="M19" sqref="M19"/>
      <selection pane="topRight" activeCell="M19" sqref="M19"/>
      <selection pane="bottomLeft" activeCell="M19" sqref="M19"/>
      <selection pane="bottomRight" activeCell="D1" sqref="D1"/>
    </sheetView>
  </sheetViews>
  <sheetFormatPr defaultColWidth="9.375" defaultRowHeight="12" x14ac:dyDescent="0.15"/>
  <cols>
    <col min="1" max="1" width="2.375" style="2" customWidth="1"/>
    <col min="2" max="4" width="9.75" style="2" customWidth="1"/>
    <col min="5" max="13" width="8.25" style="2" customWidth="1"/>
    <col min="14" max="14" width="6.25" style="2" customWidth="1"/>
    <col min="15" max="15" width="7.375" style="2" customWidth="1"/>
    <col min="16" max="16" width="7" style="2" customWidth="1"/>
    <col min="17" max="17" width="8.25" style="2" customWidth="1"/>
    <col min="18" max="18" width="10.25" style="2" customWidth="1"/>
    <col min="19" max="22" width="8.25" style="2" customWidth="1"/>
    <col min="23" max="25" width="10.25" style="2" customWidth="1"/>
    <col min="26" max="27" width="11.125" style="2" customWidth="1"/>
    <col min="28" max="28" width="13.375" style="2" bestFit="1" customWidth="1"/>
    <col min="29" max="16384" width="9.375" style="2"/>
  </cols>
  <sheetData>
    <row r="1" spans="2:28" ht="20.45" customHeight="1" x14ac:dyDescent="0.15">
      <c r="B1" s="1" t="s">
        <v>236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O1" s="252"/>
      <c r="R1" s="253"/>
      <c r="Y1" s="2" t="s">
        <v>237</v>
      </c>
    </row>
    <row r="2" spans="2:28" ht="14.25" x14ac:dyDescent="0.15">
      <c r="B2" s="254"/>
      <c r="C2" s="255" t="s">
        <v>238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 t="s">
        <v>239</v>
      </c>
      <c r="T2" s="255"/>
      <c r="U2" s="256"/>
      <c r="V2" s="256"/>
      <c r="W2" s="203"/>
      <c r="X2" s="256" t="s">
        <v>240</v>
      </c>
      <c r="Y2" s="257"/>
    </row>
    <row r="3" spans="2:28" ht="14.25" x14ac:dyDescent="0.15">
      <c r="B3" s="258"/>
      <c r="C3" s="204"/>
      <c r="D3" s="204"/>
      <c r="E3" s="256" t="s">
        <v>241</v>
      </c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7"/>
      <c r="R3" s="204"/>
      <c r="S3" s="204"/>
      <c r="T3" s="204"/>
      <c r="U3" s="260"/>
      <c r="V3" s="260"/>
      <c r="W3" s="174" t="s">
        <v>229</v>
      </c>
      <c r="X3" s="261" t="s">
        <v>242</v>
      </c>
      <c r="Y3" s="204" t="s">
        <v>243</v>
      </c>
    </row>
    <row r="4" spans="2:28" s="9" customFormat="1" x14ac:dyDescent="0.15">
      <c r="B4" s="262"/>
      <c r="C4" s="175" t="s">
        <v>244</v>
      </c>
      <c r="D4" s="175" t="s">
        <v>245</v>
      </c>
      <c r="E4" s="173"/>
      <c r="F4" s="173" t="s">
        <v>246</v>
      </c>
      <c r="G4" s="173"/>
      <c r="H4" s="173" t="s">
        <v>247</v>
      </c>
      <c r="I4" s="173"/>
      <c r="J4" s="173" t="s">
        <v>248</v>
      </c>
      <c r="K4" s="173"/>
      <c r="L4" s="173"/>
      <c r="M4" s="173"/>
      <c r="N4" s="173" t="s">
        <v>249</v>
      </c>
      <c r="O4" s="173"/>
      <c r="P4" s="173"/>
      <c r="Q4" s="173" t="s">
        <v>250</v>
      </c>
      <c r="R4" s="174" t="s">
        <v>229</v>
      </c>
      <c r="S4" s="175" t="s">
        <v>251</v>
      </c>
      <c r="T4" s="175" t="s">
        <v>252</v>
      </c>
      <c r="U4" s="262" t="s">
        <v>253</v>
      </c>
      <c r="V4" s="175" t="s">
        <v>254</v>
      </c>
      <c r="W4" s="175"/>
      <c r="X4" s="262" t="s">
        <v>255</v>
      </c>
      <c r="Y4" s="175" t="s">
        <v>256</v>
      </c>
    </row>
    <row r="5" spans="2:28" s="9" customFormat="1" x14ac:dyDescent="0.15">
      <c r="B5" s="263" t="s">
        <v>94</v>
      </c>
      <c r="C5" s="175"/>
      <c r="D5" s="175"/>
      <c r="E5" s="175" t="s">
        <v>257</v>
      </c>
      <c r="F5" s="175" t="s">
        <v>258</v>
      </c>
      <c r="G5" s="175" t="s">
        <v>259</v>
      </c>
      <c r="H5" s="175" t="s">
        <v>260</v>
      </c>
      <c r="I5" s="175" t="s">
        <v>261</v>
      </c>
      <c r="J5" s="175" t="s">
        <v>262</v>
      </c>
      <c r="K5" s="175" t="s">
        <v>263</v>
      </c>
      <c r="L5" s="175" t="s">
        <v>264</v>
      </c>
      <c r="M5" s="175" t="s">
        <v>265</v>
      </c>
      <c r="N5" s="175" t="s">
        <v>266</v>
      </c>
      <c r="O5" s="175" t="s">
        <v>267</v>
      </c>
      <c r="P5" s="175" t="s">
        <v>268</v>
      </c>
      <c r="Q5" s="175" t="s">
        <v>269</v>
      </c>
      <c r="R5" s="174"/>
      <c r="S5" s="175" t="s">
        <v>270</v>
      </c>
      <c r="T5" s="175" t="s">
        <v>271</v>
      </c>
      <c r="U5" s="262" t="s">
        <v>272</v>
      </c>
      <c r="V5" s="175" t="s">
        <v>273</v>
      </c>
      <c r="W5" s="174"/>
      <c r="X5" s="263"/>
      <c r="Y5" s="264" t="s">
        <v>272</v>
      </c>
    </row>
    <row r="6" spans="2:28" s="9" customFormat="1" x14ac:dyDescent="0.15">
      <c r="B6" s="265"/>
      <c r="C6" s="176"/>
      <c r="D6" s="176"/>
      <c r="E6" s="176"/>
      <c r="F6" s="176" t="s">
        <v>274</v>
      </c>
      <c r="G6" s="176" t="s">
        <v>275</v>
      </c>
      <c r="H6" s="176" t="s">
        <v>276</v>
      </c>
      <c r="I6" s="176" t="s">
        <v>277</v>
      </c>
      <c r="J6" s="176" t="s">
        <v>278</v>
      </c>
      <c r="K6" s="176" t="s">
        <v>279</v>
      </c>
      <c r="L6" s="176" t="s">
        <v>280</v>
      </c>
      <c r="M6" s="176" t="s">
        <v>281</v>
      </c>
      <c r="N6" s="176" t="s">
        <v>274</v>
      </c>
      <c r="O6" s="176" t="s">
        <v>278</v>
      </c>
      <c r="P6" s="176" t="s">
        <v>282</v>
      </c>
      <c r="Q6" s="176" t="s">
        <v>274</v>
      </c>
      <c r="R6" s="176"/>
      <c r="S6" s="176"/>
      <c r="T6" s="176"/>
      <c r="U6" s="265"/>
      <c r="V6" s="176"/>
      <c r="W6" s="176"/>
      <c r="X6" s="265"/>
      <c r="Y6" s="176"/>
    </row>
    <row r="7" spans="2:28" hidden="1" x14ac:dyDescent="0.15">
      <c r="B7" s="266" t="s">
        <v>25</v>
      </c>
      <c r="C7" s="267"/>
      <c r="D7" s="268"/>
      <c r="E7" s="269"/>
      <c r="F7" s="269"/>
      <c r="G7" s="268"/>
      <c r="H7" s="270"/>
      <c r="I7" s="271" t="s">
        <v>27</v>
      </c>
      <c r="J7" s="268"/>
      <c r="K7" s="271" t="s">
        <v>27</v>
      </c>
      <c r="L7" s="268"/>
      <c r="M7" s="268">
        <v>1</v>
      </c>
      <c r="N7" s="268"/>
      <c r="O7" s="272"/>
      <c r="P7" s="268"/>
      <c r="Q7" s="268"/>
      <c r="R7" s="273"/>
      <c r="S7" s="267"/>
      <c r="T7" s="268"/>
      <c r="U7" s="274"/>
      <c r="V7" s="274"/>
      <c r="W7" s="275"/>
      <c r="X7" s="276"/>
      <c r="Y7" s="275"/>
      <c r="Z7" s="41">
        <f t="shared" ref="Z7:Z38" si="0">X7-SUM(C7:V7)</f>
        <v>-1</v>
      </c>
      <c r="AA7" s="2">
        <f>目的別内訳!Q5</f>
        <v>297219</v>
      </c>
    </row>
    <row r="8" spans="2:28" hidden="1" x14ac:dyDescent="0.15">
      <c r="B8" s="277" t="s">
        <v>28</v>
      </c>
      <c r="C8" s="278"/>
      <c r="D8" s="279"/>
      <c r="E8" s="280"/>
      <c r="F8" s="280"/>
      <c r="G8" s="279"/>
      <c r="H8" s="279"/>
      <c r="I8" s="271" t="s">
        <v>27</v>
      </c>
      <c r="J8" s="279"/>
      <c r="K8" s="271" t="s">
        <v>27</v>
      </c>
      <c r="L8" s="279"/>
      <c r="M8" s="279">
        <v>3</v>
      </c>
      <c r="N8" s="279"/>
      <c r="O8" s="271"/>
      <c r="P8" s="279"/>
      <c r="Q8" s="279"/>
      <c r="R8" s="281"/>
      <c r="S8" s="278"/>
      <c r="T8" s="279"/>
      <c r="U8" s="282"/>
      <c r="V8" s="282"/>
      <c r="W8" s="283"/>
      <c r="X8" s="284"/>
      <c r="Y8" s="283"/>
      <c r="Z8" s="41">
        <f t="shared" si="0"/>
        <v>-3</v>
      </c>
      <c r="AB8" s="80"/>
    </row>
    <row r="9" spans="2:28" hidden="1" x14ac:dyDescent="0.15">
      <c r="B9" s="277" t="s">
        <v>29</v>
      </c>
      <c r="C9" s="278"/>
      <c r="D9" s="279"/>
      <c r="E9" s="280"/>
      <c r="F9" s="280"/>
      <c r="G9" s="279"/>
      <c r="H9" s="279"/>
      <c r="I9" s="271" t="s">
        <v>27</v>
      </c>
      <c r="J9" s="279"/>
      <c r="K9" s="271" t="s">
        <v>27</v>
      </c>
      <c r="L9" s="279"/>
      <c r="M9" s="279">
        <v>5</v>
      </c>
      <c r="N9" s="279"/>
      <c r="O9" s="271"/>
      <c r="P9" s="279"/>
      <c r="Q9" s="279"/>
      <c r="R9" s="281"/>
      <c r="S9" s="278"/>
      <c r="T9" s="279"/>
      <c r="U9" s="282"/>
      <c r="V9" s="282"/>
      <c r="W9" s="283"/>
      <c r="X9" s="284"/>
      <c r="Y9" s="283"/>
      <c r="Z9" s="41">
        <f t="shared" si="0"/>
        <v>-5</v>
      </c>
      <c r="AB9" s="80"/>
    </row>
    <row r="10" spans="2:28" hidden="1" x14ac:dyDescent="0.15">
      <c r="B10" s="277" t="s">
        <v>30</v>
      </c>
      <c r="C10" s="278"/>
      <c r="D10" s="279"/>
      <c r="E10" s="280"/>
      <c r="F10" s="279"/>
      <c r="G10" s="279"/>
      <c r="H10" s="279"/>
      <c r="I10" s="271" t="s">
        <v>27</v>
      </c>
      <c r="J10" s="279"/>
      <c r="K10" s="271" t="s">
        <v>27</v>
      </c>
      <c r="L10" s="271" t="s">
        <v>27</v>
      </c>
      <c r="M10" s="271">
        <v>7</v>
      </c>
      <c r="N10" s="271" t="s">
        <v>27</v>
      </c>
      <c r="O10" s="271"/>
      <c r="P10" s="271" t="s">
        <v>27</v>
      </c>
      <c r="Q10" s="271" t="s">
        <v>27</v>
      </c>
      <c r="R10" s="281"/>
      <c r="S10" s="285"/>
      <c r="T10" s="279"/>
      <c r="U10" s="282"/>
      <c r="V10" s="282"/>
      <c r="W10" s="283"/>
      <c r="X10" s="284"/>
      <c r="Y10" s="283"/>
      <c r="Z10" s="41">
        <f t="shared" si="0"/>
        <v>-7</v>
      </c>
      <c r="AB10" s="80"/>
    </row>
    <row r="11" spans="2:28" hidden="1" x14ac:dyDescent="0.15">
      <c r="B11" s="277" t="s">
        <v>31</v>
      </c>
      <c r="C11" s="278"/>
      <c r="D11" s="279"/>
      <c r="E11" s="280"/>
      <c r="F11" s="279"/>
      <c r="G11" s="279"/>
      <c r="H11" s="279"/>
      <c r="I11" s="271" t="s">
        <v>27</v>
      </c>
      <c r="J11" s="279"/>
      <c r="K11" s="271" t="s">
        <v>27</v>
      </c>
      <c r="L11" s="271" t="s">
        <v>27</v>
      </c>
      <c r="M11" s="271">
        <v>9</v>
      </c>
      <c r="N11" s="271" t="s">
        <v>27</v>
      </c>
      <c r="O11" s="271"/>
      <c r="P11" s="271" t="s">
        <v>27</v>
      </c>
      <c r="Q11" s="271" t="s">
        <v>27</v>
      </c>
      <c r="R11" s="281"/>
      <c r="S11" s="278"/>
      <c r="T11" s="279"/>
      <c r="U11" s="282"/>
      <c r="V11" s="282"/>
      <c r="W11" s="283"/>
      <c r="X11" s="284"/>
      <c r="Y11" s="283"/>
      <c r="Z11" s="41">
        <f t="shared" si="0"/>
        <v>-9</v>
      </c>
      <c r="AB11" s="80"/>
    </row>
    <row r="12" spans="2:28" hidden="1" x14ac:dyDescent="0.15">
      <c r="B12" s="277" t="s">
        <v>32</v>
      </c>
      <c r="C12" s="278"/>
      <c r="D12" s="279"/>
      <c r="E12" s="280"/>
      <c r="F12" s="279"/>
      <c r="G12" s="279"/>
      <c r="H12" s="279"/>
      <c r="I12" s="271" t="s">
        <v>27</v>
      </c>
      <c r="J12" s="279"/>
      <c r="K12" s="271" t="s">
        <v>27</v>
      </c>
      <c r="L12" s="271" t="s">
        <v>27</v>
      </c>
      <c r="M12" s="271">
        <v>11</v>
      </c>
      <c r="N12" s="271" t="s">
        <v>27</v>
      </c>
      <c r="O12" s="271"/>
      <c r="P12" s="271" t="s">
        <v>27</v>
      </c>
      <c r="Q12" s="271" t="s">
        <v>27</v>
      </c>
      <c r="R12" s="281"/>
      <c r="S12" s="285"/>
      <c r="T12" s="279"/>
      <c r="U12" s="282"/>
      <c r="V12" s="282"/>
      <c r="W12" s="283"/>
      <c r="X12" s="284"/>
      <c r="Y12" s="283"/>
      <c r="Z12" s="41">
        <f t="shared" si="0"/>
        <v>-11</v>
      </c>
      <c r="AB12" s="80"/>
    </row>
    <row r="13" spans="2:28" hidden="1" x14ac:dyDescent="0.15">
      <c r="B13" s="277" t="s">
        <v>33</v>
      </c>
      <c r="C13" s="278"/>
      <c r="D13" s="279"/>
      <c r="E13" s="279"/>
      <c r="F13" s="279"/>
      <c r="G13" s="279"/>
      <c r="H13" s="279"/>
      <c r="I13" s="271" t="s">
        <v>27</v>
      </c>
      <c r="J13" s="279"/>
      <c r="K13" s="271" t="s">
        <v>27</v>
      </c>
      <c r="L13" s="271" t="s">
        <v>27</v>
      </c>
      <c r="M13" s="271">
        <v>13</v>
      </c>
      <c r="N13" s="271" t="s">
        <v>27</v>
      </c>
      <c r="O13" s="271"/>
      <c r="P13" s="271" t="s">
        <v>27</v>
      </c>
      <c r="Q13" s="271" t="s">
        <v>27</v>
      </c>
      <c r="R13" s="281"/>
      <c r="S13" s="285"/>
      <c r="T13" s="279"/>
      <c r="U13" s="282"/>
      <c r="V13" s="282"/>
      <c r="W13" s="283"/>
      <c r="X13" s="284"/>
      <c r="Y13" s="283"/>
      <c r="Z13" s="41">
        <f t="shared" si="0"/>
        <v>-13</v>
      </c>
      <c r="AB13" s="80"/>
    </row>
    <row r="14" spans="2:28" hidden="1" x14ac:dyDescent="0.15">
      <c r="B14" s="277" t="s">
        <v>34</v>
      </c>
      <c r="C14" s="278"/>
      <c r="D14" s="279"/>
      <c r="E14" s="279"/>
      <c r="F14" s="279"/>
      <c r="G14" s="279"/>
      <c r="H14" s="279"/>
      <c r="I14" s="271" t="s">
        <v>27</v>
      </c>
      <c r="J14" s="279"/>
      <c r="K14" s="271" t="s">
        <v>27</v>
      </c>
      <c r="L14" s="271" t="s">
        <v>27</v>
      </c>
      <c r="M14" s="271">
        <v>15</v>
      </c>
      <c r="N14" s="271" t="s">
        <v>27</v>
      </c>
      <c r="O14" s="271"/>
      <c r="P14" s="271" t="s">
        <v>27</v>
      </c>
      <c r="Q14" s="271" t="s">
        <v>27</v>
      </c>
      <c r="R14" s="281"/>
      <c r="S14" s="285"/>
      <c r="T14" s="279"/>
      <c r="U14" s="282"/>
      <c r="V14" s="282"/>
      <c r="W14" s="283"/>
      <c r="X14" s="284"/>
      <c r="Y14" s="283"/>
      <c r="Z14" s="41">
        <f t="shared" si="0"/>
        <v>-15</v>
      </c>
      <c r="AB14" s="80"/>
    </row>
    <row r="15" spans="2:28" hidden="1" x14ac:dyDescent="0.15">
      <c r="B15" s="277" t="s">
        <v>35</v>
      </c>
      <c r="C15" s="278"/>
      <c r="D15" s="279"/>
      <c r="E15" s="279"/>
      <c r="F15" s="279"/>
      <c r="G15" s="279"/>
      <c r="H15" s="279"/>
      <c r="I15" s="271" t="s">
        <v>27</v>
      </c>
      <c r="J15" s="279"/>
      <c r="K15" s="271" t="s">
        <v>27</v>
      </c>
      <c r="L15" s="271" t="s">
        <v>27</v>
      </c>
      <c r="M15" s="271">
        <v>16</v>
      </c>
      <c r="N15" s="271" t="s">
        <v>27</v>
      </c>
      <c r="O15" s="271"/>
      <c r="P15" s="271" t="s">
        <v>27</v>
      </c>
      <c r="Q15" s="271" t="s">
        <v>27</v>
      </c>
      <c r="R15" s="281"/>
      <c r="S15" s="285"/>
      <c r="T15" s="279"/>
      <c r="U15" s="282"/>
      <c r="V15" s="282"/>
      <c r="W15" s="283"/>
      <c r="X15" s="284"/>
      <c r="Y15" s="283"/>
      <c r="Z15" s="41">
        <f t="shared" si="0"/>
        <v>-16</v>
      </c>
      <c r="AB15" s="80"/>
    </row>
    <row r="16" spans="2:28" hidden="1" x14ac:dyDescent="0.15">
      <c r="B16" s="277" t="s">
        <v>36</v>
      </c>
      <c r="C16" s="278"/>
      <c r="D16" s="279"/>
      <c r="E16" s="279"/>
      <c r="F16" s="279"/>
      <c r="G16" s="279"/>
      <c r="H16" s="279"/>
      <c r="I16" s="271" t="s">
        <v>27</v>
      </c>
      <c r="J16" s="279"/>
      <c r="K16" s="271" t="s">
        <v>27</v>
      </c>
      <c r="L16" s="271" t="s">
        <v>27</v>
      </c>
      <c r="M16" s="271">
        <v>17</v>
      </c>
      <c r="N16" s="271" t="s">
        <v>27</v>
      </c>
      <c r="O16" s="271"/>
      <c r="P16" s="271" t="s">
        <v>27</v>
      </c>
      <c r="Q16" s="271" t="s">
        <v>27</v>
      </c>
      <c r="R16" s="281"/>
      <c r="S16" s="278"/>
      <c r="T16" s="279"/>
      <c r="U16" s="282"/>
      <c r="V16" s="282"/>
      <c r="W16" s="283"/>
      <c r="X16" s="284"/>
      <c r="Y16" s="283"/>
      <c r="Z16" s="41">
        <f t="shared" si="0"/>
        <v>-17</v>
      </c>
      <c r="AB16" s="80"/>
    </row>
    <row r="17" spans="2:28" hidden="1" x14ac:dyDescent="0.15">
      <c r="B17" s="277" t="s">
        <v>37</v>
      </c>
      <c r="C17" s="278"/>
      <c r="D17" s="279"/>
      <c r="E17" s="279"/>
      <c r="F17" s="279"/>
      <c r="G17" s="279"/>
      <c r="H17" s="279"/>
      <c r="I17" s="271" t="s">
        <v>27</v>
      </c>
      <c r="J17" s="279"/>
      <c r="K17" s="271" t="s">
        <v>27</v>
      </c>
      <c r="L17" s="271" t="s">
        <v>27</v>
      </c>
      <c r="M17" s="271">
        <v>19</v>
      </c>
      <c r="N17" s="271" t="s">
        <v>27</v>
      </c>
      <c r="O17" s="271"/>
      <c r="P17" s="271" t="s">
        <v>27</v>
      </c>
      <c r="Q17" s="271" t="s">
        <v>27</v>
      </c>
      <c r="R17" s="281"/>
      <c r="S17" s="278"/>
      <c r="T17" s="279"/>
      <c r="U17" s="282"/>
      <c r="V17" s="282"/>
      <c r="W17" s="283"/>
      <c r="X17" s="284"/>
      <c r="Y17" s="283"/>
      <c r="Z17" s="41">
        <f t="shared" si="0"/>
        <v>-19</v>
      </c>
      <c r="AB17" s="80"/>
    </row>
    <row r="18" spans="2:28" hidden="1" x14ac:dyDescent="0.15">
      <c r="B18" s="277" t="s">
        <v>38</v>
      </c>
      <c r="C18" s="278"/>
      <c r="D18" s="279"/>
      <c r="E18" s="279"/>
      <c r="F18" s="279"/>
      <c r="G18" s="279"/>
      <c r="H18" s="279"/>
      <c r="I18" s="271" t="s">
        <v>27</v>
      </c>
      <c r="J18" s="279"/>
      <c r="K18" s="271" t="s">
        <v>27</v>
      </c>
      <c r="L18" s="271" t="s">
        <v>27</v>
      </c>
      <c r="M18" s="271">
        <v>21</v>
      </c>
      <c r="N18" s="271" t="s">
        <v>27</v>
      </c>
      <c r="O18" s="271"/>
      <c r="P18" s="271" t="s">
        <v>27</v>
      </c>
      <c r="Q18" s="271" t="s">
        <v>27</v>
      </c>
      <c r="R18" s="281"/>
      <c r="S18" s="278"/>
      <c r="T18" s="279"/>
      <c r="U18" s="282"/>
      <c r="V18" s="282"/>
      <c r="W18" s="283"/>
      <c r="X18" s="284"/>
      <c r="Y18" s="283"/>
      <c r="Z18" s="41">
        <f t="shared" si="0"/>
        <v>-21</v>
      </c>
      <c r="AB18" s="80"/>
    </row>
    <row r="19" spans="2:28" hidden="1" x14ac:dyDescent="0.15">
      <c r="B19" s="277" t="s">
        <v>39</v>
      </c>
      <c r="C19" s="278"/>
      <c r="D19" s="279"/>
      <c r="E19" s="279"/>
      <c r="F19" s="279"/>
      <c r="G19" s="279"/>
      <c r="H19" s="279"/>
      <c r="I19" s="271" t="s">
        <v>27</v>
      </c>
      <c r="J19" s="279"/>
      <c r="K19" s="271" t="s">
        <v>27</v>
      </c>
      <c r="L19" s="271" t="s">
        <v>27</v>
      </c>
      <c r="M19" s="271"/>
      <c r="N19" s="271" t="s">
        <v>27</v>
      </c>
      <c r="O19" s="271"/>
      <c r="P19" s="271" t="s">
        <v>27</v>
      </c>
      <c r="Q19" s="271" t="s">
        <v>27</v>
      </c>
      <c r="R19" s="281"/>
      <c r="S19" s="278"/>
      <c r="T19" s="279"/>
      <c r="U19" s="282"/>
      <c r="V19" s="282"/>
      <c r="W19" s="283"/>
      <c r="X19" s="284"/>
      <c r="Y19" s="283"/>
      <c r="Z19" s="41">
        <f t="shared" si="0"/>
        <v>0</v>
      </c>
      <c r="AB19" s="80"/>
    </row>
    <row r="20" spans="2:28" hidden="1" x14ac:dyDescent="0.15">
      <c r="B20" s="277" t="s">
        <v>40</v>
      </c>
      <c r="C20" s="278"/>
      <c r="D20" s="279"/>
      <c r="E20" s="279"/>
      <c r="F20" s="279"/>
      <c r="G20" s="279"/>
      <c r="H20" s="279"/>
      <c r="I20" s="271" t="s">
        <v>27</v>
      </c>
      <c r="J20" s="279"/>
      <c r="K20" s="271" t="s">
        <v>27</v>
      </c>
      <c r="L20" s="271" t="s">
        <v>27</v>
      </c>
      <c r="M20" s="271"/>
      <c r="N20" s="271" t="s">
        <v>27</v>
      </c>
      <c r="O20" s="271"/>
      <c r="P20" s="271" t="s">
        <v>27</v>
      </c>
      <c r="Q20" s="271" t="s">
        <v>27</v>
      </c>
      <c r="R20" s="281"/>
      <c r="S20" s="278"/>
      <c r="T20" s="279"/>
      <c r="U20" s="282"/>
      <c r="V20" s="282"/>
      <c r="W20" s="283"/>
      <c r="X20" s="284"/>
      <c r="Y20" s="283"/>
      <c r="Z20" s="41">
        <f t="shared" si="0"/>
        <v>0</v>
      </c>
      <c r="AB20" s="80"/>
    </row>
    <row r="21" spans="2:28" hidden="1" x14ac:dyDescent="0.15">
      <c r="B21" s="277" t="s">
        <v>41</v>
      </c>
      <c r="C21" s="278"/>
      <c r="D21" s="279"/>
      <c r="E21" s="279"/>
      <c r="F21" s="279"/>
      <c r="G21" s="279"/>
      <c r="H21" s="279"/>
      <c r="I21" s="271" t="s">
        <v>27</v>
      </c>
      <c r="J21" s="279"/>
      <c r="K21" s="271" t="s">
        <v>27</v>
      </c>
      <c r="L21" s="271" t="s">
        <v>27</v>
      </c>
      <c r="M21" s="271"/>
      <c r="N21" s="271" t="s">
        <v>27</v>
      </c>
      <c r="O21" s="271"/>
      <c r="P21" s="271" t="s">
        <v>27</v>
      </c>
      <c r="Q21" s="271" t="s">
        <v>27</v>
      </c>
      <c r="R21" s="281"/>
      <c r="S21" s="278"/>
      <c r="T21" s="280"/>
      <c r="U21" s="286"/>
      <c r="V21" s="282"/>
      <c r="W21" s="283"/>
      <c r="X21" s="284"/>
      <c r="Y21" s="283"/>
      <c r="Z21" s="41">
        <f t="shared" si="0"/>
        <v>0</v>
      </c>
      <c r="AB21" s="80"/>
    </row>
    <row r="22" spans="2:28" hidden="1" x14ac:dyDescent="0.15">
      <c r="B22" s="277" t="s">
        <v>42</v>
      </c>
      <c r="C22" s="278"/>
      <c r="D22" s="279"/>
      <c r="E22" s="279"/>
      <c r="F22" s="279"/>
      <c r="G22" s="279"/>
      <c r="H22" s="279"/>
      <c r="I22" s="271" t="s">
        <v>27</v>
      </c>
      <c r="J22" s="279"/>
      <c r="K22" s="271" t="s">
        <v>27</v>
      </c>
      <c r="L22" s="271" t="s">
        <v>27</v>
      </c>
      <c r="M22" s="271"/>
      <c r="N22" s="271" t="s">
        <v>27</v>
      </c>
      <c r="O22" s="271"/>
      <c r="P22" s="271" t="s">
        <v>27</v>
      </c>
      <c r="Q22" s="271" t="s">
        <v>27</v>
      </c>
      <c r="R22" s="281"/>
      <c r="S22" s="278"/>
      <c r="T22" s="280"/>
      <c r="U22" s="286"/>
      <c r="V22" s="282"/>
      <c r="W22" s="283"/>
      <c r="X22" s="284"/>
      <c r="Y22" s="283"/>
      <c r="Z22" s="41">
        <f t="shared" si="0"/>
        <v>0</v>
      </c>
      <c r="AB22" s="80"/>
    </row>
    <row r="23" spans="2:28" hidden="1" x14ac:dyDescent="0.15">
      <c r="B23" s="277" t="s">
        <v>43</v>
      </c>
      <c r="C23" s="278"/>
      <c r="D23" s="279"/>
      <c r="E23" s="279"/>
      <c r="F23" s="279"/>
      <c r="G23" s="279"/>
      <c r="H23" s="279"/>
      <c r="I23" s="271" t="s">
        <v>27</v>
      </c>
      <c r="J23" s="279"/>
      <c r="K23" s="271" t="s">
        <v>27</v>
      </c>
      <c r="L23" s="271" t="s">
        <v>27</v>
      </c>
      <c r="M23" s="271"/>
      <c r="N23" s="271" t="s">
        <v>27</v>
      </c>
      <c r="O23" s="271"/>
      <c r="P23" s="271" t="s">
        <v>27</v>
      </c>
      <c r="Q23" s="271" t="s">
        <v>27</v>
      </c>
      <c r="R23" s="281"/>
      <c r="S23" s="278"/>
      <c r="T23" s="279"/>
      <c r="U23" s="282"/>
      <c r="V23" s="282"/>
      <c r="W23" s="283"/>
      <c r="X23" s="284"/>
      <c r="Y23" s="283"/>
      <c r="Z23" s="41">
        <f t="shared" si="0"/>
        <v>0</v>
      </c>
      <c r="AB23" s="80"/>
    </row>
    <row r="24" spans="2:28" hidden="1" x14ac:dyDescent="0.15">
      <c r="B24" s="277" t="s">
        <v>44</v>
      </c>
      <c r="C24" s="278"/>
      <c r="D24" s="279"/>
      <c r="E24" s="279"/>
      <c r="F24" s="279"/>
      <c r="G24" s="279"/>
      <c r="H24" s="279"/>
      <c r="I24" s="271" t="s">
        <v>27</v>
      </c>
      <c r="J24" s="279"/>
      <c r="K24" s="271" t="s">
        <v>27</v>
      </c>
      <c r="L24" s="271" t="s">
        <v>27</v>
      </c>
      <c r="M24" s="271"/>
      <c r="N24" s="271" t="s">
        <v>27</v>
      </c>
      <c r="O24" s="271"/>
      <c r="P24" s="271" t="s">
        <v>27</v>
      </c>
      <c r="Q24" s="271" t="s">
        <v>27</v>
      </c>
      <c r="R24" s="281"/>
      <c r="S24" s="278"/>
      <c r="T24" s="279"/>
      <c r="U24" s="282"/>
      <c r="V24" s="282"/>
      <c r="W24" s="283"/>
      <c r="X24" s="284"/>
      <c r="Y24" s="283"/>
      <c r="Z24" s="41">
        <f t="shared" si="0"/>
        <v>0</v>
      </c>
      <c r="AB24" s="80"/>
    </row>
    <row r="25" spans="2:28" hidden="1" x14ac:dyDescent="0.15">
      <c r="B25" s="277" t="s">
        <v>45</v>
      </c>
      <c r="C25" s="278"/>
      <c r="D25" s="279"/>
      <c r="E25" s="279"/>
      <c r="F25" s="279"/>
      <c r="G25" s="279"/>
      <c r="H25" s="279"/>
      <c r="I25" s="271" t="s">
        <v>27</v>
      </c>
      <c r="J25" s="279"/>
      <c r="K25" s="271" t="s">
        <v>27</v>
      </c>
      <c r="L25" s="271" t="s">
        <v>27</v>
      </c>
      <c r="M25" s="271"/>
      <c r="N25" s="271" t="s">
        <v>27</v>
      </c>
      <c r="O25" s="271"/>
      <c r="P25" s="271" t="s">
        <v>27</v>
      </c>
      <c r="Q25" s="271" t="s">
        <v>27</v>
      </c>
      <c r="R25" s="281"/>
      <c r="S25" s="278"/>
      <c r="T25" s="279"/>
      <c r="U25" s="282"/>
      <c r="V25" s="282"/>
      <c r="W25" s="283"/>
      <c r="X25" s="284"/>
      <c r="Y25" s="283"/>
      <c r="Z25" s="41">
        <f t="shared" si="0"/>
        <v>0</v>
      </c>
      <c r="AB25" s="80"/>
    </row>
    <row r="26" spans="2:28" hidden="1" x14ac:dyDescent="0.15">
      <c r="B26" s="277" t="s">
        <v>46</v>
      </c>
      <c r="C26" s="278"/>
      <c r="D26" s="279"/>
      <c r="E26" s="279"/>
      <c r="F26" s="279"/>
      <c r="G26" s="279"/>
      <c r="H26" s="279"/>
      <c r="I26" s="271" t="s">
        <v>27</v>
      </c>
      <c r="J26" s="279"/>
      <c r="K26" s="271" t="s">
        <v>27</v>
      </c>
      <c r="L26" s="271" t="s">
        <v>27</v>
      </c>
      <c r="M26" s="271"/>
      <c r="N26" s="271" t="s">
        <v>27</v>
      </c>
      <c r="O26" s="271"/>
      <c r="P26" s="271" t="s">
        <v>27</v>
      </c>
      <c r="Q26" s="271" t="s">
        <v>27</v>
      </c>
      <c r="R26" s="281"/>
      <c r="S26" s="278"/>
      <c r="T26" s="279"/>
      <c r="U26" s="282"/>
      <c r="V26" s="282"/>
      <c r="W26" s="283"/>
      <c r="X26" s="284"/>
      <c r="Y26" s="283"/>
      <c r="Z26" s="41">
        <f t="shared" si="0"/>
        <v>0</v>
      </c>
      <c r="AB26" s="80"/>
    </row>
    <row r="27" spans="2:28" hidden="1" x14ac:dyDescent="0.15">
      <c r="B27" s="277" t="s">
        <v>47</v>
      </c>
      <c r="C27" s="278"/>
      <c r="D27" s="279"/>
      <c r="E27" s="279"/>
      <c r="F27" s="279"/>
      <c r="G27" s="279"/>
      <c r="H27" s="279"/>
      <c r="I27" s="271" t="s">
        <v>27</v>
      </c>
      <c r="J27" s="279"/>
      <c r="K27" s="271" t="s">
        <v>27</v>
      </c>
      <c r="L27" s="271" t="s">
        <v>27</v>
      </c>
      <c r="M27" s="271"/>
      <c r="N27" s="271" t="s">
        <v>27</v>
      </c>
      <c r="O27" s="271"/>
      <c r="P27" s="271" t="s">
        <v>27</v>
      </c>
      <c r="Q27" s="271" t="s">
        <v>27</v>
      </c>
      <c r="R27" s="281"/>
      <c r="S27" s="278"/>
      <c r="T27" s="279"/>
      <c r="U27" s="282"/>
      <c r="V27" s="282"/>
      <c r="W27" s="283"/>
      <c r="X27" s="284"/>
      <c r="Y27" s="283"/>
      <c r="Z27" s="41">
        <f t="shared" si="0"/>
        <v>0</v>
      </c>
      <c r="AB27" s="80"/>
    </row>
    <row r="28" spans="2:28" hidden="1" x14ac:dyDescent="0.15">
      <c r="B28" s="277" t="s">
        <v>48</v>
      </c>
      <c r="C28" s="278"/>
      <c r="D28" s="279"/>
      <c r="E28" s="279"/>
      <c r="F28" s="279"/>
      <c r="G28" s="279"/>
      <c r="H28" s="279"/>
      <c r="I28" s="271" t="s">
        <v>27</v>
      </c>
      <c r="J28" s="279"/>
      <c r="K28" s="271" t="s">
        <v>27</v>
      </c>
      <c r="L28" s="271" t="s">
        <v>27</v>
      </c>
      <c r="M28" s="271"/>
      <c r="N28" s="271" t="s">
        <v>27</v>
      </c>
      <c r="O28" s="271"/>
      <c r="P28" s="271" t="s">
        <v>27</v>
      </c>
      <c r="Q28" s="271" t="s">
        <v>27</v>
      </c>
      <c r="R28" s="281"/>
      <c r="S28" s="278"/>
      <c r="T28" s="279"/>
      <c r="U28" s="282"/>
      <c r="V28" s="282"/>
      <c r="W28" s="283"/>
      <c r="X28" s="284"/>
      <c r="Y28" s="283"/>
      <c r="Z28" s="41">
        <f t="shared" si="0"/>
        <v>0</v>
      </c>
      <c r="AB28" s="80"/>
    </row>
    <row r="29" spans="2:28" hidden="1" x14ac:dyDescent="0.15">
      <c r="B29" s="277" t="s">
        <v>49</v>
      </c>
      <c r="C29" s="278"/>
      <c r="D29" s="279"/>
      <c r="E29" s="279"/>
      <c r="F29" s="279"/>
      <c r="G29" s="279"/>
      <c r="H29" s="279"/>
      <c r="I29" s="271" t="s">
        <v>27</v>
      </c>
      <c r="J29" s="279"/>
      <c r="K29" s="271" t="s">
        <v>27</v>
      </c>
      <c r="L29" s="271" t="s">
        <v>27</v>
      </c>
      <c r="M29" s="271"/>
      <c r="N29" s="271" t="s">
        <v>27</v>
      </c>
      <c r="O29" s="271"/>
      <c r="P29" s="271" t="s">
        <v>27</v>
      </c>
      <c r="Q29" s="271" t="s">
        <v>27</v>
      </c>
      <c r="R29" s="281"/>
      <c r="S29" s="278"/>
      <c r="T29" s="279"/>
      <c r="U29" s="282"/>
      <c r="V29" s="282"/>
      <c r="W29" s="283"/>
      <c r="X29" s="284"/>
      <c r="Y29" s="283"/>
      <c r="Z29" s="41">
        <f t="shared" si="0"/>
        <v>0</v>
      </c>
      <c r="AB29" s="80"/>
    </row>
    <row r="30" spans="2:28" hidden="1" x14ac:dyDescent="0.15">
      <c r="B30" s="277" t="s">
        <v>50</v>
      </c>
      <c r="C30" s="278"/>
      <c r="D30" s="279"/>
      <c r="E30" s="279"/>
      <c r="F30" s="279"/>
      <c r="G30" s="279"/>
      <c r="H30" s="279"/>
      <c r="I30" s="271" t="s">
        <v>27</v>
      </c>
      <c r="J30" s="279"/>
      <c r="K30" s="271" t="s">
        <v>27</v>
      </c>
      <c r="L30" s="271" t="s">
        <v>27</v>
      </c>
      <c r="M30" s="271"/>
      <c r="N30" s="271" t="s">
        <v>27</v>
      </c>
      <c r="O30" s="271"/>
      <c r="P30" s="271" t="s">
        <v>27</v>
      </c>
      <c r="Q30" s="271" t="s">
        <v>27</v>
      </c>
      <c r="R30" s="281"/>
      <c r="S30" s="278"/>
      <c r="T30" s="279"/>
      <c r="U30" s="282"/>
      <c r="V30" s="282"/>
      <c r="W30" s="283"/>
      <c r="X30" s="284"/>
      <c r="Y30" s="283"/>
      <c r="Z30" s="41">
        <f t="shared" si="0"/>
        <v>0</v>
      </c>
      <c r="AB30" s="80"/>
    </row>
    <row r="31" spans="2:28" hidden="1" x14ac:dyDescent="0.15">
      <c r="B31" s="277" t="s">
        <v>51</v>
      </c>
      <c r="C31" s="278"/>
      <c r="D31" s="279"/>
      <c r="E31" s="279"/>
      <c r="F31" s="279"/>
      <c r="G31" s="279"/>
      <c r="H31" s="279"/>
      <c r="I31" s="271" t="s">
        <v>27</v>
      </c>
      <c r="J31" s="279"/>
      <c r="K31" s="271" t="s">
        <v>27</v>
      </c>
      <c r="L31" s="271" t="s">
        <v>27</v>
      </c>
      <c r="M31" s="271"/>
      <c r="N31" s="271" t="s">
        <v>27</v>
      </c>
      <c r="O31" s="271"/>
      <c r="P31" s="271" t="s">
        <v>27</v>
      </c>
      <c r="Q31" s="271" t="s">
        <v>27</v>
      </c>
      <c r="R31" s="281"/>
      <c r="S31" s="278"/>
      <c r="T31" s="279"/>
      <c r="U31" s="282"/>
      <c r="V31" s="282"/>
      <c r="W31" s="283"/>
      <c r="X31" s="284"/>
      <c r="Y31" s="283"/>
      <c r="Z31" s="41">
        <f t="shared" si="0"/>
        <v>0</v>
      </c>
      <c r="AB31" s="80"/>
    </row>
    <row r="32" spans="2:28" hidden="1" x14ac:dyDescent="0.15">
      <c r="B32" s="277" t="s">
        <v>53</v>
      </c>
      <c r="C32" s="278"/>
      <c r="D32" s="279"/>
      <c r="E32" s="279"/>
      <c r="F32" s="279"/>
      <c r="G32" s="279"/>
      <c r="H32" s="279"/>
      <c r="I32" s="271" t="s">
        <v>27</v>
      </c>
      <c r="J32" s="279"/>
      <c r="K32" s="271" t="s">
        <v>27</v>
      </c>
      <c r="L32" s="271" t="s">
        <v>27</v>
      </c>
      <c r="M32" s="271"/>
      <c r="N32" s="271" t="s">
        <v>27</v>
      </c>
      <c r="O32" s="271"/>
      <c r="P32" s="271" t="s">
        <v>27</v>
      </c>
      <c r="Q32" s="271" t="s">
        <v>27</v>
      </c>
      <c r="R32" s="281"/>
      <c r="S32" s="278"/>
      <c r="T32" s="279"/>
      <c r="U32" s="282"/>
      <c r="V32" s="282"/>
      <c r="W32" s="283"/>
      <c r="X32" s="284"/>
      <c r="Y32" s="283"/>
      <c r="Z32" s="41">
        <f t="shared" si="0"/>
        <v>0</v>
      </c>
      <c r="AB32" s="80"/>
    </row>
    <row r="33" spans="2:28" hidden="1" x14ac:dyDescent="0.15">
      <c r="B33" s="277" t="s">
        <v>54</v>
      </c>
      <c r="C33" s="278"/>
      <c r="D33" s="279"/>
      <c r="E33" s="279"/>
      <c r="F33" s="279"/>
      <c r="G33" s="279"/>
      <c r="H33" s="279"/>
      <c r="I33" s="271" t="s">
        <v>27</v>
      </c>
      <c r="J33" s="279"/>
      <c r="K33" s="271" t="s">
        <v>27</v>
      </c>
      <c r="L33" s="271" t="s">
        <v>27</v>
      </c>
      <c r="M33" s="271"/>
      <c r="N33" s="271" t="s">
        <v>27</v>
      </c>
      <c r="O33" s="271"/>
      <c r="P33" s="271" t="s">
        <v>27</v>
      </c>
      <c r="Q33" s="271" t="s">
        <v>27</v>
      </c>
      <c r="R33" s="281"/>
      <c r="S33" s="278"/>
      <c r="T33" s="279"/>
      <c r="U33" s="282"/>
      <c r="V33" s="282"/>
      <c r="W33" s="283"/>
      <c r="X33" s="284"/>
      <c r="Y33" s="283"/>
      <c r="Z33" s="41">
        <f t="shared" si="0"/>
        <v>0</v>
      </c>
      <c r="AB33" s="80"/>
    </row>
    <row r="34" spans="2:28" hidden="1" x14ac:dyDescent="0.15">
      <c r="B34" s="277" t="s">
        <v>55</v>
      </c>
      <c r="C34" s="278"/>
      <c r="D34" s="279"/>
      <c r="E34" s="279"/>
      <c r="F34" s="279"/>
      <c r="G34" s="279"/>
      <c r="H34" s="279"/>
      <c r="I34" s="271" t="s">
        <v>27</v>
      </c>
      <c r="J34" s="279"/>
      <c r="K34" s="271" t="s">
        <v>27</v>
      </c>
      <c r="L34" s="271" t="s">
        <v>27</v>
      </c>
      <c r="M34" s="271"/>
      <c r="N34" s="271" t="s">
        <v>27</v>
      </c>
      <c r="O34" s="271"/>
      <c r="P34" s="271" t="s">
        <v>27</v>
      </c>
      <c r="Q34" s="271" t="s">
        <v>27</v>
      </c>
      <c r="R34" s="281"/>
      <c r="S34" s="278"/>
      <c r="T34" s="279"/>
      <c r="U34" s="282"/>
      <c r="V34" s="282"/>
      <c r="W34" s="283"/>
      <c r="X34" s="284"/>
      <c r="Y34" s="283"/>
      <c r="Z34" s="41">
        <f t="shared" si="0"/>
        <v>0</v>
      </c>
      <c r="AB34" s="80"/>
    </row>
    <row r="35" spans="2:28" hidden="1" x14ac:dyDescent="0.15">
      <c r="B35" s="277" t="s">
        <v>56</v>
      </c>
      <c r="C35" s="278"/>
      <c r="D35" s="279"/>
      <c r="E35" s="279"/>
      <c r="F35" s="279"/>
      <c r="G35" s="279"/>
      <c r="H35" s="279"/>
      <c r="I35" s="271" t="s">
        <v>27</v>
      </c>
      <c r="J35" s="279"/>
      <c r="K35" s="271" t="s">
        <v>27</v>
      </c>
      <c r="L35" s="271" t="s">
        <v>27</v>
      </c>
      <c r="M35" s="271"/>
      <c r="N35" s="271" t="s">
        <v>27</v>
      </c>
      <c r="O35" s="271"/>
      <c r="P35" s="271" t="s">
        <v>27</v>
      </c>
      <c r="Q35" s="271" t="s">
        <v>27</v>
      </c>
      <c r="R35" s="281"/>
      <c r="S35" s="278"/>
      <c r="T35" s="279"/>
      <c r="U35" s="282"/>
      <c r="V35" s="282"/>
      <c r="W35" s="283"/>
      <c r="X35" s="284"/>
      <c r="Y35" s="283"/>
      <c r="Z35" s="41">
        <f t="shared" si="0"/>
        <v>0</v>
      </c>
      <c r="AB35" s="80"/>
    </row>
    <row r="36" spans="2:28" hidden="1" x14ac:dyDescent="0.15">
      <c r="B36" s="277" t="s">
        <v>57</v>
      </c>
      <c r="C36" s="278"/>
      <c r="D36" s="279"/>
      <c r="E36" s="279"/>
      <c r="F36" s="279"/>
      <c r="G36" s="279"/>
      <c r="H36" s="279"/>
      <c r="I36" s="271" t="s">
        <v>27</v>
      </c>
      <c r="J36" s="279"/>
      <c r="K36" s="271" t="s">
        <v>27</v>
      </c>
      <c r="L36" s="271" t="s">
        <v>27</v>
      </c>
      <c r="M36" s="271"/>
      <c r="N36" s="271" t="s">
        <v>27</v>
      </c>
      <c r="O36" s="271"/>
      <c r="P36" s="271" t="s">
        <v>27</v>
      </c>
      <c r="Q36" s="271" t="s">
        <v>27</v>
      </c>
      <c r="R36" s="281"/>
      <c r="S36" s="278"/>
      <c r="T36" s="279"/>
      <c r="U36" s="282"/>
      <c r="V36" s="282"/>
      <c r="W36" s="283"/>
      <c r="X36" s="284"/>
      <c r="Y36" s="283"/>
      <c r="Z36" s="41">
        <f t="shared" si="0"/>
        <v>0</v>
      </c>
      <c r="AB36" s="80"/>
    </row>
    <row r="37" spans="2:28" hidden="1" x14ac:dyDescent="0.15">
      <c r="B37" s="277" t="s">
        <v>58</v>
      </c>
      <c r="C37" s="278"/>
      <c r="D37" s="279"/>
      <c r="E37" s="279"/>
      <c r="F37" s="279"/>
      <c r="G37" s="279"/>
      <c r="H37" s="279"/>
      <c r="I37" s="271" t="s">
        <v>27</v>
      </c>
      <c r="J37" s="279"/>
      <c r="K37" s="271" t="s">
        <v>27</v>
      </c>
      <c r="L37" s="271" t="s">
        <v>27</v>
      </c>
      <c r="M37" s="271"/>
      <c r="N37" s="271" t="s">
        <v>27</v>
      </c>
      <c r="O37" s="271"/>
      <c r="P37" s="271" t="s">
        <v>27</v>
      </c>
      <c r="Q37" s="271" t="s">
        <v>27</v>
      </c>
      <c r="R37" s="281"/>
      <c r="S37" s="278"/>
      <c r="T37" s="279"/>
      <c r="U37" s="282"/>
      <c r="V37" s="282"/>
      <c r="W37" s="283"/>
      <c r="X37" s="284"/>
      <c r="Y37" s="283"/>
      <c r="Z37" s="41">
        <f t="shared" si="0"/>
        <v>0</v>
      </c>
      <c r="AB37" s="80"/>
    </row>
    <row r="38" spans="2:28" hidden="1" x14ac:dyDescent="0.15">
      <c r="B38" s="277" t="s">
        <v>59</v>
      </c>
      <c r="C38" s="278"/>
      <c r="D38" s="279"/>
      <c r="E38" s="279"/>
      <c r="F38" s="279"/>
      <c r="G38" s="279"/>
      <c r="H38" s="279"/>
      <c r="I38" s="271" t="s">
        <v>27</v>
      </c>
      <c r="J38" s="279"/>
      <c r="K38" s="271" t="s">
        <v>27</v>
      </c>
      <c r="L38" s="271" t="s">
        <v>27</v>
      </c>
      <c r="M38" s="271"/>
      <c r="N38" s="271" t="s">
        <v>27</v>
      </c>
      <c r="O38" s="271"/>
      <c r="P38" s="271" t="s">
        <v>27</v>
      </c>
      <c r="Q38" s="271" t="s">
        <v>27</v>
      </c>
      <c r="R38" s="281"/>
      <c r="S38" s="278"/>
      <c r="T38" s="279"/>
      <c r="U38" s="282"/>
      <c r="V38" s="282"/>
      <c r="W38" s="283"/>
      <c r="X38" s="284"/>
      <c r="Y38" s="283"/>
      <c r="Z38" s="41">
        <f t="shared" si="0"/>
        <v>0</v>
      </c>
      <c r="AB38" s="80"/>
    </row>
    <row r="39" spans="2:28" hidden="1" x14ac:dyDescent="0.15">
      <c r="B39" s="277" t="s">
        <v>60</v>
      </c>
      <c r="C39" s="278"/>
      <c r="D39" s="279"/>
      <c r="E39" s="279"/>
      <c r="F39" s="279"/>
      <c r="G39" s="279"/>
      <c r="H39" s="279"/>
      <c r="I39" s="271" t="s">
        <v>27</v>
      </c>
      <c r="J39" s="279"/>
      <c r="K39" s="271" t="s">
        <v>27</v>
      </c>
      <c r="L39" s="271" t="s">
        <v>27</v>
      </c>
      <c r="M39" s="271"/>
      <c r="N39" s="271" t="s">
        <v>27</v>
      </c>
      <c r="O39" s="271"/>
      <c r="P39" s="271" t="s">
        <v>27</v>
      </c>
      <c r="Q39" s="271" t="s">
        <v>27</v>
      </c>
      <c r="R39" s="281"/>
      <c r="S39" s="278"/>
      <c r="T39" s="279"/>
      <c r="U39" s="282"/>
      <c r="V39" s="282"/>
      <c r="W39" s="283"/>
      <c r="X39" s="284"/>
      <c r="Y39" s="283"/>
      <c r="Z39" s="41">
        <f t="shared" ref="Z39:Z41" si="1">X39-SUM(C39:V39)</f>
        <v>0</v>
      </c>
      <c r="AB39" s="80"/>
    </row>
    <row r="40" spans="2:28" hidden="1" x14ac:dyDescent="0.15">
      <c r="B40" s="277" t="s">
        <v>62</v>
      </c>
      <c r="C40" s="278"/>
      <c r="D40" s="279"/>
      <c r="E40" s="287"/>
      <c r="F40" s="287"/>
      <c r="G40" s="287"/>
      <c r="H40" s="287"/>
      <c r="I40" s="271" t="s">
        <v>27</v>
      </c>
      <c r="J40" s="288"/>
      <c r="K40" s="271" t="s">
        <v>27</v>
      </c>
      <c r="L40" s="271" t="s">
        <v>27</v>
      </c>
      <c r="M40" s="271"/>
      <c r="N40" s="271" t="s">
        <v>27</v>
      </c>
      <c r="O40" s="271"/>
      <c r="P40" s="271" t="s">
        <v>27</v>
      </c>
      <c r="Q40" s="271" t="s">
        <v>27</v>
      </c>
      <c r="R40" s="281"/>
      <c r="S40" s="289"/>
      <c r="T40" s="279"/>
      <c r="U40" s="282"/>
      <c r="V40" s="282"/>
      <c r="W40" s="283"/>
      <c r="X40" s="284"/>
      <c r="Y40" s="283"/>
      <c r="Z40" s="41">
        <f t="shared" si="1"/>
        <v>0</v>
      </c>
      <c r="AB40" s="80"/>
    </row>
    <row r="41" spans="2:28" ht="18.75" hidden="1" x14ac:dyDescent="0.4">
      <c r="B41" s="290" t="s">
        <v>63</v>
      </c>
      <c r="C41" s="291"/>
      <c r="D41" s="292"/>
      <c r="E41" s="292"/>
      <c r="F41" s="293"/>
      <c r="G41" s="292"/>
      <c r="H41" s="292"/>
      <c r="I41" s="294" t="s">
        <v>27</v>
      </c>
      <c r="J41" s="292"/>
      <c r="K41" s="294" t="s">
        <v>27</v>
      </c>
      <c r="L41" s="294" t="s">
        <v>27</v>
      </c>
      <c r="M41" s="294"/>
      <c r="N41" s="294" t="s">
        <v>27</v>
      </c>
      <c r="O41" s="294"/>
      <c r="P41" s="294" t="s">
        <v>27</v>
      </c>
      <c r="Q41" s="294" t="s">
        <v>27</v>
      </c>
      <c r="R41" s="295"/>
      <c r="S41" s="291"/>
      <c r="T41" s="292"/>
      <c r="U41" s="296"/>
      <c r="V41" s="296"/>
      <c r="W41" s="297"/>
      <c r="X41" s="298"/>
      <c r="Y41" s="297"/>
      <c r="Z41" s="41">
        <f t="shared" si="1"/>
        <v>0</v>
      </c>
      <c r="AB41" s="80"/>
    </row>
    <row r="42" spans="2:28" x14ac:dyDescent="0.15">
      <c r="B42" s="369" t="s">
        <v>64</v>
      </c>
      <c r="C42" s="370">
        <v>718321</v>
      </c>
      <c r="D42" s="370">
        <v>399976</v>
      </c>
      <c r="E42" s="370">
        <v>174800</v>
      </c>
      <c r="F42" s="371">
        <v>121666</v>
      </c>
      <c r="G42" s="370">
        <v>23311</v>
      </c>
      <c r="H42" s="370">
        <v>7004</v>
      </c>
      <c r="I42" s="372" t="s">
        <v>26</v>
      </c>
      <c r="J42" s="370">
        <v>153095</v>
      </c>
      <c r="K42" s="372" t="s">
        <v>26</v>
      </c>
      <c r="L42" s="372" t="s">
        <v>27</v>
      </c>
      <c r="M42" s="372" t="s">
        <v>27</v>
      </c>
      <c r="N42" s="372" t="s">
        <v>27</v>
      </c>
      <c r="O42" s="373">
        <v>94083</v>
      </c>
      <c r="P42" s="372" t="s">
        <v>27</v>
      </c>
      <c r="Q42" s="372" t="s">
        <v>27</v>
      </c>
      <c r="R42" s="374">
        <f t="shared" ref="R42:R62" si="2">SUM(C42:Q42)</f>
        <v>1692256</v>
      </c>
      <c r="S42" s="370">
        <v>160000</v>
      </c>
      <c r="T42" s="370">
        <v>1000</v>
      </c>
      <c r="U42" s="370">
        <v>300000</v>
      </c>
      <c r="V42" s="370">
        <v>7296</v>
      </c>
      <c r="W42" s="374">
        <f t="shared" ref="W42:W45" si="3">SUM(R42:V42)</f>
        <v>2160552</v>
      </c>
      <c r="X42" s="370"/>
      <c r="Y42" s="375"/>
      <c r="Z42" s="41">
        <f t="shared" ref="Z42:Z62" si="4">R42-SUM(C42:Q42)</f>
        <v>0</v>
      </c>
      <c r="AB42" s="80"/>
    </row>
    <row r="43" spans="2:28" x14ac:dyDescent="0.15">
      <c r="B43" s="369" t="s">
        <v>65</v>
      </c>
      <c r="C43" s="370">
        <v>978629</v>
      </c>
      <c r="D43" s="370">
        <v>300249</v>
      </c>
      <c r="E43" s="370">
        <v>176556</v>
      </c>
      <c r="F43" s="371">
        <v>96744</v>
      </c>
      <c r="G43" s="370">
        <v>22353</v>
      </c>
      <c r="H43" s="370">
        <v>7008</v>
      </c>
      <c r="I43" s="372" t="s">
        <v>26</v>
      </c>
      <c r="J43" s="370">
        <v>149413</v>
      </c>
      <c r="K43" s="372" t="s">
        <v>26</v>
      </c>
      <c r="L43" s="372" t="s">
        <v>27</v>
      </c>
      <c r="M43" s="372" t="s">
        <v>27</v>
      </c>
      <c r="N43" s="372" t="s">
        <v>27</v>
      </c>
      <c r="O43" s="373">
        <v>66235</v>
      </c>
      <c r="P43" s="372" t="s">
        <v>27</v>
      </c>
      <c r="Q43" s="372" t="s">
        <v>27</v>
      </c>
      <c r="R43" s="374">
        <f t="shared" si="2"/>
        <v>1797187</v>
      </c>
      <c r="S43" s="370">
        <v>160000</v>
      </c>
      <c r="T43" s="370">
        <v>1000</v>
      </c>
      <c r="U43" s="370">
        <v>300000</v>
      </c>
      <c r="V43" s="370">
        <v>7296</v>
      </c>
      <c r="W43" s="374">
        <f t="shared" si="3"/>
        <v>2265483</v>
      </c>
      <c r="X43" s="370"/>
      <c r="Y43" s="375"/>
      <c r="Z43" s="41">
        <f t="shared" si="4"/>
        <v>0</v>
      </c>
      <c r="AB43" s="80"/>
    </row>
    <row r="44" spans="2:28" x14ac:dyDescent="0.15">
      <c r="B44" s="369" t="s">
        <v>66</v>
      </c>
      <c r="C44" s="370">
        <v>465709</v>
      </c>
      <c r="D44" s="370">
        <v>200308</v>
      </c>
      <c r="E44" s="370">
        <v>176556</v>
      </c>
      <c r="F44" s="371">
        <v>73283</v>
      </c>
      <c r="G44" s="370">
        <v>20355</v>
      </c>
      <c r="H44" s="373">
        <v>7011</v>
      </c>
      <c r="I44" s="372" t="s">
        <v>27</v>
      </c>
      <c r="J44" s="370">
        <v>50633</v>
      </c>
      <c r="K44" s="372" t="s">
        <v>27</v>
      </c>
      <c r="L44" s="372" t="s">
        <v>27</v>
      </c>
      <c r="M44" s="372" t="s">
        <v>27</v>
      </c>
      <c r="N44" s="372" t="s">
        <v>27</v>
      </c>
      <c r="O44" s="376" t="s">
        <v>26</v>
      </c>
      <c r="P44" s="372" t="s">
        <v>27</v>
      </c>
      <c r="Q44" s="372" t="s">
        <v>27</v>
      </c>
      <c r="R44" s="374">
        <f t="shared" si="2"/>
        <v>993855</v>
      </c>
      <c r="S44" s="370">
        <v>160000</v>
      </c>
      <c r="T44" s="370">
        <v>1000</v>
      </c>
      <c r="U44" s="370">
        <v>300000</v>
      </c>
      <c r="V44" s="372" t="s">
        <v>27</v>
      </c>
      <c r="W44" s="374">
        <f t="shared" si="3"/>
        <v>1454855</v>
      </c>
      <c r="X44" s="370"/>
      <c r="Y44" s="375"/>
      <c r="Z44" s="41">
        <f t="shared" si="4"/>
        <v>0</v>
      </c>
      <c r="AB44" s="80"/>
    </row>
    <row r="45" spans="2:28" x14ac:dyDescent="0.15">
      <c r="B45" s="369" t="s">
        <v>67</v>
      </c>
      <c r="C45" s="370">
        <v>685944</v>
      </c>
      <c r="D45" s="370">
        <v>300387</v>
      </c>
      <c r="E45" s="370">
        <v>176556</v>
      </c>
      <c r="F45" s="371">
        <v>43331</v>
      </c>
      <c r="G45" s="377">
        <v>20363</v>
      </c>
      <c r="H45" s="376" t="s">
        <v>26</v>
      </c>
      <c r="I45" s="372" t="s">
        <v>27</v>
      </c>
      <c r="J45" s="370">
        <v>31853</v>
      </c>
      <c r="K45" s="372" t="s">
        <v>27</v>
      </c>
      <c r="L45" s="372" t="s">
        <v>27</v>
      </c>
      <c r="M45" s="372" t="s">
        <v>27</v>
      </c>
      <c r="N45" s="372" t="s">
        <v>27</v>
      </c>
      <c r="O45" s="376" t="s">
        <v>26</v>
      </c>
      <c r="P45" s="372" t="s">
        <v>27</v>
      </c>
      <c r="Q45" s="372" t="s">
        <v>27</v>
      </c>
      <c r="R45" s="374">
        <f t="shared" si="2"/>
        <v>1258434</v>
      </c>
      <c r="S45" s="370">
        <v>160000</v>
      </c>
      <c r="T45" s="370">
        <v>1000</v>
      </c>
      <c r="U45" s="370">
        <v>300000</v>
      </c>
      <c r="V45" s="372" t="s">
        <v>27</v>
      </c>
      <c r="W45" s="374">
        <f t="shared" si="3"/>
        <v>1719434</v>
      </c>
      <c r="X45" s="370"/>
      <c r="Y45" s="375"/>
      <c r="Z45" s="41">
        <f t="shared" si="4"/>
        <v>0</v>
      </c>
      <c r="AB45" s="80"/>
    </row>
    <row r="46" spans="2:28" x14ac:dyDescent="0.15">
      <c r="B46" s="369" t="s">
        <v>68</v>
      </c>
      <c r="C46" s="377">
        <v>826037</v>
      </c>
      <c r="D46" s="377">
        <v>480443</v>
      </c>
      <c r="E46" s="377">
        <v>176556</v>
      </c>
      <c r="F46" s="371">
        <v>18179</v>
      </c>
      <c r="G46" s="377">
        <v>18371</v>
      </c>
      <c r="H46" s="376" t="s">
        <v>26</v>
      </c>
      <c r="I46" s="372" t="s">
        <v>27</v>
      </c>
      <c r="J46" s="371">
        <v>14265</v>
      </c>
      <c r="K46" s="372" t="s">
        <v>27</v>
      </c>
      <c r="L46" s="372" t="s">
        <v>27</v>
      </c>
      <c r="M46" s="372" t="s">
        <v>27</v>
      </c>
      <c r="N46" s="372" t="s">
        <v>27</v>
      </c>
      <c r="O46" s="376" t="s">
        <v>26</v>
      </c>
      <c r="P46" s="372" t="s">
        <v>27</v>
      </c>
      <c r="Q46" s="372" t="s">
        <v>27</v>
      </c>
      <c r="R46" s="374">
        <f t="shared" si="2"/>
        <v>1533851</v>
      </c>
      <c r="S46" s="370">
        <v>160000</v>
      </c>
      <c r="T46" s="370">
        <v>1000</v>
      </c>
      <c r="U46" s="377">
        <v>100000</v>
      </c>
      <c r="V46" s="372" t="s">
        <v>27</v>
      </c>
      <c r="W46" s="374">
        <f t="shared" ref="W46:W49" si="5">SUM(R46:V46)</f>
        <v>1794851</v>
      </c>
      <c r="X46" s="374"/>
      <c r="Y46" s="378"/>
      <c r="Z46" s="41">
        <f t="shared" si="4"/>
        <v>0</v>
      </c>
      <c r="AB46" s="80"/>
    </row>
    <row r="47" spans="2:28" x14ac:dyDescent="0.15">
      <c r="B47" s="369" t="s">
        <v>69</v>
      </c>
      <c r="C47" s="377">
        <v>1033247</v>
      </c>
      <c r="D47" s="377">
        <v>119388</v>
      </c>
      <c r="E47" s="377">
        <v>176556</v>
      </c>
      <c r="F47" s="371">
        <v>5888</v>
      </c>
      <c r="G47" s="377">
        <v>18328</v>
      </c>
      <c r="H47" s="376" t="s">
        <v>26</v>
      </c>
      <c r="I47" s="372" t="s">
        <v>27</v>
      </c>
      <c r="J47" s="379">
        <v>15471</v>
      </c>
      <c r="K47" s="371">
        <v>10600</v>
      </c>
      <c r="L47" s="372" t="s">
        <v>27</v>
      </c>
      <c r="M47" s="372" t="s">
        <v>27</v>
      </c>
      <c r="N47" s="380" t="s">
        <v>27</v>
      </c>
      <c r="O47" s="376" t="s">
        <v>26</v>
      </c>
      <c r="P47" s="372" t="s">
        <v>27</v>
      </c>
      <c r="Q47" s="372" t="s">
        <v>27</v>
      </c>
      <c r="R47" s="374">
        <f t="shared" si="2"/>
        <v>1379478</v>
      </c>
      <c r="S47" s="370">
        <v>160000</v>
      </c>
      <c r="T47" s="370">
        <v>1000</v>
      </c>
      <c r="U47" s="377">
        <v>100000</v>
      </c>
      <c r="V47" s="372" t="s">
        <v>27</v>
      </c>
      <c r="W47" s="374">
        <f t="shared" si="5"/>
        <v>1640478</v>
      </c>
      <c r="X47" s="374"/>
      <c r="Y47" s="378"/>
      <c r="Z47" s="41">
        <f t="shared" si="4"/>
        <v>0</v>
      </c>
      <c r="AB47" s="80"/>
    </row>
    <row r="48" spans="2:28" x14ac:dyDescent="0.15">
      <c r="B48" s="369" t="s">
        <v>70</v>
      </c>
      <c r="C48" s="377">
        <v>1163802</v>
      </c>
      <c r="D48" s="377">
        <v>119436</v>
      </c>
      <c r="E48" s="377">
        <v>176556</v>
      </c>
      <c r="F48" s="371">
        <v>5890</v>
      </c>
      <c r="G48" s="377">
        <v>19286</v>
      </c>
      <c r="H48" s="376" t="s">
        <v>26</v>
      </c>
      <c r="I48" s="372" t="s">
        <v>27</v>
      </c>
      <c r="J48" s="371">
        <v>16677</v>
      </c>
      <c r="K48" s="377">
        <v>10604</v>
      </c>
      <c r="L48" s="372" t="s">
        <v>27</v>
      </c>
      <c r="M48" s="372" t="s">
        <v>27</v>
      </c>
      <c r="N48" s="372" t="s">
        <v>27</v>
      </c>
      <c r="O48" s="376" t="s">
        <v>26</v>
      </c>
      <c r="P48" s="372" t="s">
        <v>27</v>
      </c>
      <c r="Q48" s="372" t="s">
        <v>27</v>
      </c>
      <c r="R48" s="374">
        <f t="shared" si="2"/>
        <v>1512251</v>
      </c>
      <c r="S48" s="370">
        <v>160000</v>
      </c>
      <c r="T48" s="370">
        <v>1000</v>
      </c>
      <c r="U48" s="377">
        <v>100000</v>
      </c>
      <c r="V48" s="372" t="s">
        <v>27</v>
      </c>
      <c r="W48" s="374">
        <f t="shared" si="5"/>
        <v>1773251</v>
      </c>
      <c r="X48" s="374"/>
      <c r="Y48" s="378"/>
      <c r="Z48" s="41">
        <f t="shared" si="4"/>
        <v>0</v>
      </c>
      <c r="AB48" s="80"/>
    </row>
    <row r="49" spans="2:28" x14ac:dyDescent="0.15">
      <c r="B49" s="369" t="s">
        <v>71</v>
      </c>
      <c r="C49" s="377">
        <v>1255749</v>
      </c>
      <c r="D49" s="377">
        <v>119587</v>
      </c>
      <c r="E49" s="377">
        <v>176756</v>
      </c>
      <c r="F49" s="371">
        <v>7708</v>
      </c>
      <c r="G49" s="377">
        <v>20195</v>
      </c>
      <c r="H49" s="376" t="s">
        <v>26</v>
      </c>
      <c r="I49" s="372" t="s">
        <v>27</v>
      </c>
      <c r="J49" s="371">
        <v>17927</v>
      </c>
      <c r="K49" s="377">
        <v>10636</v>
      </c>
      <c r="L49" s="372" t="s">
        <v>27</v>
      </c>
      <c r="M49" s="372" t="s">
        <v>27</v>
      </c>
      <c r="N49" s="372" t="s">
        <v>27</v>
      </c>
      <c r="O49" s="376" t="s">
        <v>26</v>
      </c>
      <c r="P49" s="372" t="s">
        <v>27</v>
      </c>
      <c r="Q49" s="372" t="s">
        <v>27</v>
      </c>
      <c r="R49" s="374">
        <f t="shared" si="2"/>
        <v>1608558</v>
      </c>
      <c r="S49" s="370">
        <v>160000</v>
      </c>
      <c r="T49" s="370">
        <v>1000</v>
      </c>
      <c r="U49" s="377">
        <v>110000</v>
      </c>
      <c r="V49" s="372" t="s">
        <v>27</v>
      </c>
      <c r="W49" s="374">
        <f t="shared" si="5"/>
        <v>1879558</v>
      </c>
      <c r="X49" s="374"/>
      <c r="Y49" s="378"/>
      <c r="Z49" s="41">
        <f t="shared" si="4"/>
        <v>0</v>
      </c>
      <c r="AB49" s="80"/>
    </row>
    <row r="50" spans="2:28" x14ac:dyDescent="0.15">
      <c r="B50" s="369" t="s">
        <v>73</v>
      </c>
      <c r="C50" s="377">
        <v>1263836</v>
      </c>
      <c r="D50" s="377">
        <v>120268</v>
      </c>
      <c r="E50" s="377">
        <v>177406</v>
      </c>
      <c r="F50" s="371">
        <v>8232</v>
      </c>
      <c r="G50" s="377">
        <v>20871</v>
      </c>
      <c r="H50" s="376" t="s">
        <v>26</v>
      </c>
      <c r="I50" s="374">
        <v>1810</v>
      </c>
      <c r="J50" s="371">
        <v>19200</v>
      </c>
      <c r="K50" s="377">
        <v>11279</v>
      </c>
      <c r="L50" s="372" t="s">
        <v>27</v>
      </c>
      <c r="M50" s="372" t="s">
        <v>27</v>
      </c>
      <c r="N50" s="372" t="s">
        <v>27</v>
      </c>
      <c r="O50" s="376" t="s">
        <v>26</v>
      </c>
      <c r="P50" s="372" t="s">
        <v>27</v>
      </c>
      <c r="Q50" s="372" t="s">
        <v>27</v>
      </c>
      <c r="R50" s="374">
        <f t="shared" si="2"/>
        <v>1622902</v>
      </c>
      <c r="S50" s="370">
        <v>160000</v>
      </c>
      <c r="T50" s="370">
        <v>1000</v>
      </c>
      <c r="U50" s="377">
        <v>110000</v>
      </c>
      <c r="V50" s="372" t="s">
        <v>27</v>
      </c>
      <c r="W50" s="374">
        <f t="shared" ref="W50:W58" si="6">SUM(R50:V50)</f>
        <v>1893902</v>
      </c>
      <c r="X50" s="374"/>
      <c r="Y50" s="378"/>
      <c r="Z50" s="41">
        <f t="shared" si="4"/>
        <v>0</v>
      </c>
      <c r="AB50" s="80"/>
    </row>
    <row r="51" spans="2:28" x14ac:dyDescent="0.15">
      <c r="B51" s="369" t="s">
        <v>75</v>
      </c>
      <c r="C51" s="377">
        <v>1171386</v>
      </c>
      <c r="D51" s="377">
        <v>120730</v>
      </c>
      <c r="E51" s="377">
        <v>178229</v>
      </c>
      <c r="F51" s="371">
        <v>31564</v>
      </c>
      <c r="G51" s="377">
        <v>20998</v>
      </c>
      <c r="H51" s="376" t="s">
        <v>26</v>
      </c>
      <c r="I51" s="374">
        <v>3811</v>
      </c>
      <c r="J51" s="371">
        <v>6037</v>
      </c>
      <c r="K51" s="377">
        <v>11393</v>
      </c>
      <c r="L51" s="372" t="s">
        <v>27</v>
      </c>
      <c r="M51" s="372" t="s">
        <v>27</v>
      </c>
      <c r="N51" s="372" t="s">
        <v>27</v>
      </c>
      <c r="O51" s="376" t="s">
        <v>26</v>
      </c>
      <c r="P51" s="372" t="s">
        <v>27</v>
      </c>
      <c r="Q51" s="377">
        <v>67500</v>
      </c>
      <c r="R51" s="374">
        <f t="shared" si="2"/>
        <v>1611648</v>
      </c>
      <c r="S51" s="377">
        <v>160000</v>
      </c>
      <c r="T51" s="377">
        <v>1000</v>
      </c>
      <c r="U51" s="377">
        <v>110000</v>
      </c>
      <c r="V51" s="372" t="s">
        <v>27</v>
      </c>
      <c r="W51" s="374">
        <f t="shared" si="6"/>
        <v>1882648</v>
      </c>
      <c r="X51" s="374"/>
      <c r="Y51" s="378"/>
      <c r="Z51" s="41">
        <f t="shared" si="4"/>
        <v>0</v>
      </c>
      <c r="AB51" s="80"/>
    </row>
    <row r="52" spans="2:28" x14ac:dyDescent="0.15">
      <c r="B52" s="369" t="s">
        <v>76</v>
      </c>
      <c r="C52" s="377">
        <v>1438756</v>
      </c>
      <c r="D52" s="377">
        <v>190989</v>
      </c>
      <c r="E52" s="377">
        <v>178150</v>
      </c>
      <c r="F52" s="371">
        <v>31572</v>
      </c>
      <c r="G52" s="377">
        <v>21036</v>
      </c>
      <c r="H52" s="376" t="s">
        <v>26</v>
      </c>
      <c r="I52" s="374">
        <v>1703</v>
      </c>
      <c r="J52" s="371">
        <v>42</v>
      </c>
      <c r="K52" s="381">
        <v>11415</v>
      </c>
      <c r="L52" s="372" t="s">
        <v>27</v>
      </c>
      <c r="M52" s="372" t="s">
        <v>27</v>
      </c>
      <c r="N52" s="372" t="s">
        <v>27</v>
      </c>
      <c r="O52" s="376" t="s">
        <v>26</v>
      </c>
      <c r="P52" s="377">
        <v>40000</v>
      </c>
      <c r="Q52" s="372" t="s">
        <v>27</v>
      </c>
      <c r="R52" s="374">
        <f t="shared" si="2"/>
        <v>1913663</v>
      </c>
      <c r="S52" s="377">
        <v>160000</v>
      </c>
      <c r="T52" s="377">
        <v>1000</v>
      </c>
      <c r="U52" s="377">
        <v>110000</v>
      </c>
      <c r="V52" s="372" t="s">
        <v>27</v>
      </c>
      <c r="W52" s="374">
        <f t="shared" si="6"/>
        <v>2184663</v>
      </c>
      <c r="X52" s="374"/>
      <c r="Y52" s="378"/>
      <c r="Z52" s="41">
        <f t="shared" si="4"/>
        <v>0</v>
      </c>
      <c r="AB52" s="80"/>
    </row>
    <row r="53" spans="2:28" x14ac:dyDescent="0.15">
      <c r="B53" s="369" t="s">
        <v>77</v>
      </c>
      <c r="C53" s="377">
        <v>1611284</v>
      </c>
      <c r="D53" s="377">
        <v>190996</v>
      </c>
      <c r="E53" s="377">
        <v>177908</v>
      </c>
      <c r="F53" s="371">
        <v>31594</v>
      </c>
      <c r="G53" s="377">
        <v>21051</v>
      </c>
      <c r="H53" s="376" t="s">
        <v>26</v>
      </c>
      <c r="I53" s="374">
        <v>1033</v>
      </c>
      <c r="J53" s="371">
        <v>1242</v>
      </c>
      <c r="K53" s="381">
        <v>11422</v>
      </c>
      <c r="L53" s="377">
        <v>1000</v>
      </c>
      <c r="M53" s="372" t="s">
        <v>27</v>
      </c>
      <c r="N53" s="372" t="s">
        <v>27</v>
      </c>
      <c r="O53" s="376" t="s">
        <v>26</v>
      </c>
      <c r="P53" s="372" t="s">
        <v>27</v>
      </c>
      <c r="Q53" s="372" t="s">
        <v>27</v>
      </c>
      <c r="R53" s="374">
        <f t="shared" si="2"/>
        <v>2047530</v>
      </c>
      <c r="S53" s="377">
        <v>160000</v>
      </c>
      <c r="T53" s="377">
        <v>1000</v>
      </c>
      <c r="U53" s="377">
        <v>110000</v>
      </c>
      <c r="V53" s="372" t="s">
        <v>27</v>
      </c>
      <c r="W53" s="374">
        <f t="shared" si="6"/>
        <v>2318530</v>
      </c>
      <c r="X53" s="374"/>
      <c r="Y53" s="378"/>
      <c r="Z53" s="41">
        <f t="shared" si="4"/>
        <v>0</v>
      </c>
      <c r="AB53" s="80"/>
    </row>
    <row r="54" spans="2:28" x14ac:dyDescent="0.15">
      <c r="B54" s="369" t="s">
        <v>78</v>
      </c>
      <c r="C54" s="377">
        <v>1613553</v>
      </c>
      <c r="D54" s="377">
        <v>191071</v>
      </c>
      <c r="E54" s="377">
        <v>177908</v>
      </c>
      <c r="F54" s="371">
        <v>31605</v>
      </c>
      <c r="G54" s="377">
        <v>21057</v>
      </c>
      <c r="H54" s="376" t="s">
        <v>26</v>
      </c>
      <c r="I54" s="374">
        <v>1034</v>
      </c>
      <c r="J54" s="371">
        <v>2443</v>
      </c>
      <c r="K54" s="381">
        <v>11425</v>
      </c>
      <c r="L54" s="377">
        <v>6000</v>
      </c>
      <c r="M54" s="372" t="s">
        <v>27</v>
      </c>
      <c r="N54" s="377">
        <v>50</v>
      </c>
      <c r="O54" s="376" t="s">
        <v>26</v>
      </c>
      <c r="P54" s="372" t="s">
        <v>27</v>
      </c>
      <c r="Q54" s="372" t="s">
        <v>27</v>
      </c>
      <c r="R54" s="374">
        <f t="shared" si="2"/>
        <v>2056146</v>
      </c>
      <c r="S54" s="377">
        <v>160000</v>
      </c>
      <c r="T54" s="377">
        <v>1000</v>
      </c>
      <c r="U54" s="377">
        <v>110000</v>
      </c>
      <c r="V54" s="372" t="s">
        <v>27</v>
      </c>
      <c r="W54" s="374">
        <f t="shared" si="6"/>
        <v>2327146</v>
      </c>
      <c r="X54" s="374"/>
      <c r="Y54" s="378"/>
      <c r="Z54" s="41">
        <f t="shared" si="4"/>
        <v>0</v>
      </c>
      <c r="AB54" s="80"/>
    </row>
    <row r="55" spans="2:28" x14ac:dyDescent="0.15">
      <c r="B55" s="369" t="s">
        <v>79</v>
      </c>
      <c r="C55" s="377">
        <v>1515986</v>
      </c>
      <c r="D55" s="377">
        <v>191128</v>
      </c>
      <c r="E55" s="377">
        <v>178030</v>
      </c>
      <c r="F55" s="371">
        <v>31614</v>
      </c>
      <c r="G55" s="377">
        <v>21063</v>
      </c>
      <c r="H55" s="376" t="s">
        <v>26</v>
      </c>
      <c r="I55" s="374">
        <v>1564</v>
      </c>
      <c r="J55" s="371">
        <v>3643</v>
      </c>
      <c r="K55" s="381">
        <v>11429</v>
      </c>
      <c r="L55" s="377">
        <v>11002</v>
      </c>
      <c r="M55" s="372" t="s">
        <v>27</v>
      </c>
      <c r="N55" s="377">
        <v>71</v>
      </c>
      <c r="O55" s="376" t="s">
        <v>26</v>
      </c>
      <c r="P55" s="372" t="s">
        <v>27</v>
      </c>
      <c r="Q55" s="372" t="s">
        <v>27</v>
      </c>
      <c r="R55" s="374">
        <f t="shared" si="2"/>
        <v>1965530</v>
      </c>
      <c r="S55" s="377">
        <v>160000</v>
      </c>
      <c r="T55" s="377">
        <v>1000</v>
      </c>
      <c r="U55" s="377">
        <v>110000</v>
      </c>
      <c r="V55" s="372" t="s">
        <v>27</v>
      </c>
      <c r="W55" s="374">
        <f t="shared" si="6"/>
        <v>2236530</v>
      </c>
      <c r="X55" s="374"/>
      <c r="Y55" s="378"/>
      <c r="Z55" s="41">
        <f t="shared" si="4"/>
        <v>0</v>
      </c>
      <c r="AB55" s="80"/>
    </row>
    <row r="56" spans="2:28" x14ac:dyDescent="0.15">
      <c r="B56" s="369" t="s">
        <v>81</v>
      </c>
      <c r="C56" s="377">
        <v>1518337</v>
      </c>
      <c r="D56" s="377">
        <v>191194</v>
      </c>
      <c r="E56" s="377">
        <v>178020</v>
      </c>
      <c r="F56" s="371">
        <v>31623</v>
      </c>
      <c r="G56" s="377">
        <v>21068</v>
      </c>
      <c r="H56" s="376" t="s">
        <v>26</v>
      </c>
      <c r="I56" s="374">
        <v>5475</v>
      </c>
      <c r="J56" s="371">
        <v>4844</v>
      </c>
      <c r="K56" s="381">
        <v>11432</v>
      </c>
      <c r="L56" s="377">
        <v>216005</v>
      </c>
      <c r="M56" s="372" t="s">
        <v>27</v>
      </c>
      <c r="N56" s="377">
        <v>101</v>
      </c>
      <c r="O56" s="376" t="s">
        <v>26</v>
      </c>
      <c r="P56" s="372" t="s">
        <v>27</v>
      </c>
      <c r="Q56" s="372" t="s">
        <v>27</v>
      </c>
      <c r="R56" s="374">
        <f t="shared" si="2"/>
        <v>2178099</v>
      </c>
      <c r="S56" s="377">
        <v>160000</v>
      </c>
      <c r="T56" s="377">
        <v>1000</v>
      </c>
      <c r="U56" s="377">
        <v>110000</v>
      </c>
      <c r="V56" s="372" t="s">
        <v>27</v>
      </c>
      <c r="W56" s="374">
        <f t="shared" si="6"/>
        <v>2449099</v>
      </c>
      <c r="X56" s="374"/>
      <c r="Y56" s="378"/>
      <c r="Z56" s="41">
        <f t="shared" si="4"/>
        <v>0</v>
      </c>
    </row>
    <row r="57" spans="2:28" x14ac:dyDescent="0.15">
      <c r="B57" s="369" t="s">
        <v>82</v>
      </c>
      <c r="C57" s="377">
        <v>1520778</v>
      </c>
      <c r="D57" s="377">
        <v>191242</v>
      </c>
      <c r="E57" s="377">
        <v>178689</v>
      </c>
      <c r="F57" s="371">
        <v>39131</v>
      </c>
      <c r="G57" s="377">
        <v>21074</v>
      </c>
      <c r="H57" s="376" t="s">
        <v>26</v>
      </c>
      <c r="I57" s="374">
        <v>13700</v>
      </c>
      <c r="J57" s="371">
        <v>6045</v>
      </c>
      <c r="K57" s="381">
        <v>11434</v>
      </c>
      <c r="L57" s="377">
        <v>236058</v>
      </c>
      <c r="M57" s="372" t="s">
        <v>27</v>
      </c>
      <c r="N57" s="377">
        <v>126</v>
      </c>
      <c r="O57" s="376" t="s">
        <v>26</v>
      </c>
      <c r="P57" s="372" t="s">
        <v>27</v>
      </c>
      <c r="Q57" s="372" t="s">
        <v>27</v>
      </c>
      <c r="R57" s="374">
        <f t="shared" si="2"/>
        <v>2218277</v>
      </c>
      <c r="S57" s="377">
        <v>160000</v>
      </c>
      <c r="T57" s="377">
        <v>1000</v>
      </c>
      <c r="U57" s="377">
        <v>110000</v>
      </c>
      <c r="V57" s="372" t="s">
        <v>27</v>
      </c>
      <c r="W57" s="374">
        <f t="shared" si="6"/>
        <v>2489277</v>
      </c>
      <c r="X57" s="374"/>
      <c r="Y57" s="378"/>
      <c r="Z57" s="41">
        <f t="shared" si="4"/>
        <v>0</v>
      </c>
    </row>
    <row r="58" spans="2:28" x14ac:dyDescent="0.15">
      <c r="B58" s="369" t="s">
        <v>83</v>
      </c>
      <c r="C58" s="377">
        <v>1523208</v>
      </c>
      <c r="D58" s="377">
        <v>191285</v>
      </c>
      <c r="E58" s="377">
        <v>178959</v>
      </c>
      <c r="F58" s="371">
        <v>39949</v>
      </c>
      <c r="G58" s="377">
        <v>21079</v>
      </c>
      <c r="H58" s="376" t="s">
        <v>26</v>
      </c>
      <c r="I58" s="374">
        <v>69009</v>
      </c>
      <c r="J58" s="371">
        <v>7247</v>
      </c>
      <c r="K58" s="381">
        <v>11437</v>
      </c>
      <c r="L58" s="377">
        <v>246105</v>
      </c>
      <c r="M58" s="372" t="s">
        <v>27</v>
      </c>
      <c r="N58" s="377">
        <v>163</v>
      </c>
      <c r="O58" s="376" t="s">
        <v>26</v>
      </c>
      <c r="P58" s="372" t="s">
        <v>27</v>
      </c>
      <c r="Q58" s="372" t="s">
        <v>27</v>
      </c>
      <c r="R58" s="374">
        <f t="shared" si="2"/>
        <v>2288441</v>
      </c>
      <c r="S58" s="377">
        <v>160000</v>
      </c>
      <c r="T58" s="377">
        <v>1000</v>
      </c>
      <c r="U58" s="377">
        <v>110000</v>
      </c>
      <c r="V58" s="372" t="s">
        <v>27</v>
      </c>
      <c r="W58" s="374">
        <f t="shared" si="6"/>
        <v>2559441</v>
      </c>
      <c r="X58" s="374"/>
      <c r="Y58" s="378"/>
      <c r="Z58" s="41">
        <f t="shared" si="4"/>
        <v>0</v>
      </c>
    </row>
    <row r="59" spans="2:28" x14ac:dyDescent="0.15">
      <c r="B59" s="369" t="s">
        <v>84</v>
      </c>
      <c r="C59" s="377">
        <v>1465069</v>
      </c>
      <c r="D59" s="377">
        <v>191315</v>
      </c>
      <c r="E59" s="377">
        <v>179211</v>
      </c>
      <c r="F59" s="371">
        <v>40953</v>
      </c>
      <c r="G59" s="377">
        <v>20333</v>
      </c>
      <c r="H59" s="376" t="s">
        <v>26</v>
      </c>
      <c r="I59" s="374">
        <v>56024</v>
      </c>
      <c r="J59" s="371">
        <v>8448</v>
      </c>
      <c r="K59" s="381">
        <v>9040</v>
      </c>
      <c r="L59" s="377">
        <v>256130</v>
      </c>
      <c r="M59" s="372" t="s">
        <v>27</v>
      </c>
      <c r="N59" s="377">
        <v>171</v>
      </c>
      <c r="O59" s="376" t="s">
        <v>26</v>
      </c>
      <c r="P59" s="372" t="s">
        <v>27</v>
      </c>
      <c r="Q59" s="372" t="s">
        <v>27</v>
      </c>
      <c r="R59" s="374">
        <f t="shared" si="2"/>
        <v>2226694</v>
      </c>
      <c r="S59" s="377">
        <v>160000</v>
      </c>
      <c r="T59" s="377">
        <v>1000</v>
      </c>
      <c r="U59" s="377">
        <v>0</v>
      </c>
      <c r="V59" s="372" t="s">
        <v>27</v>
      </c>
      <c r="W59" s="374">
        <f>SUM(R59:V59)</f>
        <v>2387694</v>
      </c>
      <c r="X59" s="374">
        <v>0</v>
      </c>
      <c r="Y59" s="378">
        <v>178820</v>
      </c>
      <c r="Z59" s="41">
        <f t="shared" si="4"/>
        <v>0</v>
      </c>
    </row>
    <row r="60" spans="2:28" x14ac:dyDescent="0.15">
      <c r="B60" s="369" t="s">
        <v>85</v>
      </c>
      <c r="C60" s="377">
        <v>1476145</v>
      </c>
      <c r="D60" s="377">
        <v>191334</v>
      </c>
      <c r="E60" s="377">
        <v>172599</v>
      </c>
      <c r="F60" s="371">
        <v>40727</v>
      </c>
      <c r="G60" s="377">
        <v>20335</v>
      </c>
      <c r="H60" s="376" t="s">
        <v>26</v>
      </c>
      <c r="I60" s="374">
        <v>57126</v>
      </c>
      <c r="J60" s="371">
        <v>1248</v>
      </c>
      <c r="K60" s="381">
        <v>9041</v>
      </c>
      <c r="L60" s="377">
        <v>266155</v>
      </c>
      <c r="M60" s="372" t="s">
        <v>27</v>
      </c>
      <c r="N60" s="376" t="s">
        <v>26</v>
      </c>
      <c r="O60" s="376" t="s">
        <v>26</v>
      </c>
      <c r="P60" s="372" t="s">
        <v>27</v>
      </c>
      <c r="Q60" s="372" t="s">
        <v>27</v>
      </c>
      <c r="R60" s="374">
        <f t="shared" si="2"/>
        <v>2234710</v>
      </c>
      <c r="S60" s="377">
        <v>160000</v>
      </c>
      <c r="T60" s="377">
        <v>1000</v>
      </c>
      <c r="U60" s="377" t="s">
        <v>26</v>
      </c>
      <c r="V60" s="372" t="s">
        <v>27</v>
      </c>
      <c r="W60" s="374">
        <f>SUM(R60:V60)</f>
        <v>2395710</v>
      </c>
      <c r="X60" s="374">
        <v>38022</v>
      </c>
      <c r="Y60" s="378">
        <v>199215</v>
      </c>
      <c r="Z60" s="41">
        <f t="shared" si="4"/>
        <v>0</v>
      </c>
    </row>
    <row r="61" spans="2:28" x14ac:dyDescent="0.15">
      <c r="B61" s="369" t="s">
        <v>142</v>
      </c>
      <c r="C61" s="377">
        <v>1477177</v>
      </c>
      <c r="D61" s="377">
        <v>187403</v>
      </c>
      <c r="E61" s="377">
        <v>172836</v>
      </c>
      <c r="F61" s="371">
        <v>49924</v>
      </c>
      <c r="G61" s="377">
        <v>20337</v>
      </c>
      <c r="H61" s="376" t="s">
        <v>26</v>
      </c>
      <c r="I61" s="374">
        <v>46360</v>
      </c>
      <c r="J61" s="371">
        <v>2449</v>
      </c>
      <c r="K61" s="381">
        <v>9041</v>
      </c>
      <c r="L61" s="377">
        <v>266182</v>
      </c>
      <c r="M61" s="372" t="s">
        <v>27</v>
      </c>
      <c r="N61" s="372" t="s">
        <v>26</v>
      </c>
      <c r="O61" s="376" t="s">
        <v>26</v>
      </c>
      <c r="P61" s="372" t="s">
        <v>26</v>
      </c>
      <c r="Q61" s="372" t="s">
        <v>26</v>
      </c>
      <c r="R61" s="374">
        <f t="shared" si="2"/>
        <v>2231709</v>
      </c>
      <c r="S61" s="377">
        <v>160000</v>
      </c>
      <c r="T61" s="377">
        <v>1000</v>
      </c>
      <c r="U61" s="377" t="s">
        <v>26</v>
      </c>
      <c r="V61" s="372" t="s">
        <v>26</v>
      </c>
      <c r="W61" s="374">
        <f>SUM(R61:V61)</f>
        <v>2392709</v>
      </c>
      <c r="X61" s="374">
        <v>62039</v>
      </c>
      <c r="Y61" s="378">
        <v>221016</v>
      </c>
      <c r="Z61" s="41">
        <f t="shared" si="4"/>
        <v>0</v>
      </c>
    </row>
    <row r="62" spans="2:28" x14ac:dyDescent="0.15">
      <c r="B62" s="369" t="s">
        <v>143</v>
      </c>
      <c r="C62" s="377">
        <v>1478180</v>
      </c>
      <c r="D62" s="377">
        <v>187915</v>
      </c>
      <c r="E62" s="377">
        <v>174032</v>
      </c>
      <c r="F62" s="371">
        <v>50930</v>
      </c>
      <c r="G62" s="377">
        <v>20339</v>
      </c>
      <c r="H62" s="376" t="s">
        <v>26</v>
      </c>
      <c r="I62" s="374">
        <v>43533</v>
      </c>
      <c r="J62" s="371">
        <v>3649</v>
      </c>
      <c r="K62" s="381">
        <v>9042</v>
      </c>
      <c r="L62" s="377">
        <v>266209</v>
      </c>
      <c r="M62" s="377">
        <v>30000</v>
      </c>
      <c r="N62" s="372" t="s">
        <v>26</v>
      </c>
      <c r="O62" s="376" t="s">
        <v>26</v>
      </c>
      <c r="P62" s="372" t="s">
        <v>26</v>
      </c>
      <c r="Q62" s="372" t="s">
        <v>26</v>
      </c>
      <c r="R62" s="374">
        <f t="shared" si="2"/>
        <v>2263829</v>
      </c>
      <c r="S62" s="377">
        <v>160000</v>
      </c>
      <c r="T62" s="377">
        <v>1000</v>
      </c>
      <c r="U62" s="377" t="s">
        <v>26</v>
      </c>
      <c r="V62" s="372" t="s">
        <v>26</v>
      </c>
      <c r="W62" s="374">
        <f>SUM(R62:V62)</f>
        <v>2424829</v>
      </c>
      <c r="X62" s="374">
        <v>112867</v>
      </c>
      <c r="Y62" s="378">
        <v>254514</v>
      </c>
      <c r="Z62" s="41">
        <f t="shared" si="4"/>
        <v>0</v>
      </c>
    </row>
    <row r="63" spans="2:28" x14ac:dyDescent="0.15">
      <c r="B63" s="382" t="s">
        <v>144</v>
      </c>
      <c r="C63" s="383">
        <v>1519130</v>
      </c>
      <c r="D63" s="383">
        <v>328421</v>
      </c>
      <c r="E63" s="383">
        <v>175686</v>
      </c>
      <c r="F63" s="384">
        <v>50730</v>
      </c>
      <c r="G63" s="383">
        <v>20339</v>
      </c>
      <c r="H63" s="385" t="s">
        <v>26</v>
      </c>
      <c r="I63" s="386">
        <v>240821</v>
      </c>
      <c r="J63" s="384">
        <v>3649</v>
      </c>
      <c r="K63" s="387">
        <v>8280</v>
      </c>
      <c r="L63" s="383">
        <v>266214</v>
      </c>
      <c r="M63" s="383">
        <v>24603</v>
      </c>
      <c r="N63" s="388" t="s">
        <v>26</v>
      </c>
      <c r="O63" s="385" t="s">
        <v>26</v>
      </c>
      <c r="P63" s="388" t="s">
        <v>26</v>
      </c>
      <c r="Q63" s="388" t="s">
        <v>26</v>
      </c>
      <c r="R63" s="386">
        <f t="shared" ref="R63" si="7">SUM(C63:Q63)</f>
        <v>2637873</v>
      </c>
      <c r="S63" s="383">
        <v>160000</v>
      </c>
      <c r="T63" s="383">
        <v>1000</v>
      </c>
      <c r="U63" s="383" t="s">
        <v>26</v>
      </c>
      <c r="V63" s="388" t="s">
        <v>26</v>
      </c>
      <c r="W63" s="386">
        <f>SUM(R63:V63)</f>
        <v>2798873</v>
      </c>
      <c r="X63" s="386">
        <v>133671</v>
      </c>
      <c r="Y63" s="389">
        <v>285856</v>
      </c>
      <c r="Z63" s="41">
        <f>R63-SUM(C63:Q63)</f>
        <v>0</v>
      </c>
    </row>
  </sheetData>
  <mergeCells count="4">
    <mergeCell ref="C2:R2"/>
    <mergeCell ref="S2:V2"/>
    <mergeCell ref="X2:Y2"/>
    <mergeCell ref="E3:Q3"/>
  </mergeCells>
  <phoneticPr fontId="3"/>
  <printOptions horizontalCentered="1"/>
  <pageMargins left="0.39370078740157483" right="0.39370078740157483" top="0.98425196850393704" bottom="0.78740157480314965" header="0.51181102362204722" footer="0.51181102362204722"/>
  <pageSetup paperSize="9" scale="61" fitToHeight="0" orientation="landscape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22</vt:i4>
      </vt:variant>
    </vt:vector>
  </HeadingPairs>
  <TitlesOfParts>
    <vt:vector size="34" baseType="lpstr">
      <vt:lpstr>決算状況</vt:lpstr>
      <vt:lpstr>歳入の内訳</vt:lpstr>
      <vt:lpstr>町税の内訳</vt:lpstr>
      <vt:lpstr>目的別内訳</vt:lpstr>
      <vt:lpstr>性質別内訳</vt:lpstr>
      <vt:lpstr>経常一般充当</vt:lpstr>
      <vt:lpstr>交付税の状況</vt:lpstr>
      <vt:lpstr>法人税割</vt:lpstr>
      <vt:lpstr>基金状況</vt:lpstr>
      <vt:lpstr>長期債資料</vt:lpstr>
      <vt:lpstr>公債費比率と繰上償還</vt:lpstr>
      <vt:lpstr>Sheet1</vt:lpstr>
      <vt:lpstr>基金状況!Print_Area</vt:lpstr>
      <vt:lpstr>経常一般充当!Print_Area</vt:lpstr>
      <vt:lpstr>決算状況!Print_Area</vt:lpstr>
      <vt:lpstr>交付税の状況!Print_Area</vt:lpstr>
      <vt:lpstr>公債費比率と繰上償還!Print_Area</vt:lpstr>
      <vt:lpstr>歳入の内訳!Print_Area</vt:lpstr>
      <vt:lpstr>性質別内訳!Print_Area</vt:lpstr>
      <vt:lpstr>町税の内訳!Print_Area</vt:lpstr>
      <vt:lpstr>長期債資料!Print_Area</vt:lpstr>
      <vt:lpstr>法人税割!Print_Area</vt:lpstr>
      <vt:lpstr>目的別内訳!Print_Area</vt:lpstr>
      <vt:lpstr>基金状況!Print_Titles</vt:lpstr>
      <vt:lpstr>経常一般充当!Print_Titles</vt:lpstr>
      <vt:lpstr>決算状況!Print_Titles</vt:lpstr>
      <vt:lpstr>交付税の状況!Print_Titles</vt:lpstr>
      <vt:lpstr>公債費比率と繰上償還!Print_Titles</vt:lpstr>
      <vt:lpstr>歳入の内訳!Print_Titles</vt:lpstr>
      <vt:lpstr>性質別内訳!Print_Titles</vt:lpstr>
      <vt:lpstr>町税の内訳!Print_Titles</vt:lpstr>
      <vt:lpstr>長期債資料!Print_Titles</vt:lpstr>
      <vt:lpstr>法人税割!Print_Titles</vt:lpstr>
      <vt:lpstr>目的別内訳!Print_Titles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三井 亜矢</dc:creator>
  <cp:lastModifiedBy>三井 亜矢</cp:lastModifiedBy>
  <dcterms:created xsi:type="dcterms:W3CDTF">2023-03-02T07:43:42Z</dcterms:created>
  <dcterms:modified xsi:type="dcterms:W3CDTF">2023-03-02T07:51:44Z</dcterms:modified>
</cp:coreProperties>
</file>